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165" yWindow="210" windowWidth="10830" windowHeight="9255" tabRatio="889" activeTab="0"/>
  </bookViews>
  <sheets>
    <sheet name="Eólica" sheetId="1" r:id="rId1"/>
    <sheet name="Eólica (Faturamento)" sheetId="2" r:id="rId2"/>
    <sheet name="IGP-M" sheetId="3" r:id="rId3"/>
    <sheet name="FATURA Parcela 1" sheetId="4" r:id="rId4"/>
    <sheet name="FATURA Parcela 2" sheetId="5" r:id="rId5"/>
    <sheet name="FATURA Parcela 3" sheetId="6" r:id="rId6"/>
  </sheets>
  <externalReferences>
    <externalReference r:id="rId9"/>
    <externalReference r:id="rId10"/>
  </externalReferences>
  <definedNames>
    <definedName name="_xlnm.Print_Area" localSheetId="1">'Eólica (Faturamento)'!$A$1:$K$39</definedName>
    <definedName name="_xlnm.Print_Area" localSheetId="3">'FATURA Parcela 1'!$A$3:$I$61</definedName>
    <definedName name="_xlnm.Print_Area" localSheetId="4">'FATURA Parcela 2'!$A$3:$I$61</definedName>
    <definedName name="_xlnm.Print_Area" localSheetId="5">'FATURA Parcela 3'!$A$3:$I$61</definedName>
    <definedName name="Intervalo" localSheetId="0">L5C7:L70C18</definedName>
    <definedName name="Intervalo" localSheetId="1">L5C7:L70C18</definedName>
    <definedName name="Intervalo" localSheetId="4">L5C7:L70C18</definedName>
    <definedName name="Intervalo" localSheetId="5">L5C7:L70C18</definedName>
    <definedName name="Intervalo">L5C7:L70C18</definedName>
  </definedNames>
  <calcPr fullCalcOnLoad="1"/>
</workbook>
</file>

<file path=xl/sharedStrings.xml><?xml version="1.0" encoding="utf-8"?>
<sst xmlns="http://schemas.openxmlformats.org/spreadsheetml/2006/main" count="277" uniqueCount="149">
  <si>
    <t>Cálculo para pagamento do 2º ao 19º ano do empreendimento - Eólica</t>
  </si>
  <si>
    <t>Os campos em verde devem ser preenchidos bem como a coluna D da planilha de IGP-M no final do documento na medida em que os valores forem divulgados.</t>
  </si>
  <si>
    <t>Dados</t>
  </si>
  <si>
    <t>Mês</t>
  </si>
  <si>
    <t>Ano</t>
  </si>
  <si>
    <t>Data de assinatura do contrato:</t>
  </si>
  <si>
    <t>Data de entrada em operação comercial:</t>
  </si>
  <si>
    <t>Ano de cálculo:</t>
  </si>
  <si>
    <t>Potência Instalada (MW):</t>
  </si>
  <si>
    <t>IGP-M na assinatura do contrato:</t>
  </si>
  <si>
    <t>IGP-M no reajuste do preço no ano anterior:</t>
  </si>
  <si>
    <t>IGP-M no reajuste do preço no ano corrente:</t>
  </si>
  <si>
    <t>Fator de capacidade verificado no ano anterior:</t>
  </si>
  <si>
    <t>IGP-M - 03/2004</t>
  </si>
  <si>
    <t>Preço ajustado para o ano anterior pelo fator de capacidade:</t>
  </si>
  <si>
    <t>Contratada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</si>
  <si>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</si>
  <si>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</si>
  <si>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</si>
  <si>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</si>
  <si>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</si>
  <si>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</si>
  <si>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</si>
  <si>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</si>
  <si>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</si>
  <si>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</si>
  <si>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</si>
  <si>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</si>
  <si>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</si>
  <si>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 de competência:</t>
  </si>
  <si>
    <t>Preço (R$/MWh):</t>
  </si>
  <si>
    <t>Duodécimo da Energia Contratual (MWh/mês):</t>
  </si>
  <si>
    <t>Faturamento Total - Bruto (R$):</t>
  </si>
  <si>
    <t>(PARCELAS) - Faturamento Bruto (R$):</t>
  </si>
  <si>
    <t>(PARCELAS) - Faturamento Líquido (R$):</t>
  </si>
  <si>
    <t>IGP-M</t>
  </si>
  <si>
    <t>mês</t>
  </si>
  <si>
    <t>valor</t>
  </si>
  <si>
    <t>%</t>
  </si>
  <si>
    <t>% acum.</t>
  </si>
  <si>
    <r>
      <t>1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Parcela</t>
    </r>
  </si>
  <si>
    <r>
      <t>2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Parcela</t>
    </r>
  </si>
  <si>
    <r>
      <t>3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Parcela</t>
    </r>
  </si>
  <si>
    <r>
      <t>1</t>
    </r>
    <r>
      <rPr>
        <b/>
        <vertAlign val="superscript"/>
        <sz val="9"/>
        <rFont val="Arial"/>
        <family val="2"/>
      </rPr>
      <t xml:space="preserve">a </t>
    </r>
    <r>
      <rPr>
        <b/>
        <sz val="9"/>
        <rFont val="Arial"/>
        <family val="2"/>
      </rPr>
      <t>Parcela</t>
    </r>
  </si>
  <si>
    <t>PREENCHER SOMENTE OS CAMPOS EM VERDE</t>
  </si>
  <si>
    <t>Inserir Razão Social da Empresa</t>
  </si>
  <si>
    <t>Inserir Endereço da Empresa</t>
  </si>
  <si>
    <t>Inserir Telefone e e-mail da empresa</t>
  </si>
  <si>
    <t>Inserir CEP, Município e UF da Empresa</t>
  </si>
  <si>
    <t>Inserir CNPJ da Empresa</t>
  </si>
  <si>
    <t>Inserir IE da Empresa</t>
  </si>
  <si>
    <t>FATURA</t>
  </si>
  <si>
    <t>Inserir número da fatura</t>
  </si>
  <si>
    <t>DATA EMISSÃO:</t>
  </si>
  <si>
    <t>Inserir data de emissão da fatura</t>
  </si>
  <si>
    <t>CLIENTE:</t>
  </si>
  <si>
    <t>CENTRAIS ELÉTRICAS BRASILEIRAS</t>
  </si>
  <si>
    <t>Av. Presidente Vargas, 409</t>
  </si>
  <si>
    <t>Centro - Rio de Janeiro</t>
  </si>
  <si>
    <t>CNPJ - 00.001.180./0002-07</t>
  </si>
  <si>
    <t>INC. ESTADUAL:77410805</t>
  </si>
  <si>
    <t>Referente:</t>
  </si>
  <si>
    <t>Inserir nº do contrato</t>
  </si>
  <si>
    <t xml:space="preserve">  DESCRIÇÃO:</t>
  </si>
  <si>
    <t>Adiantamento por conta do contrato de Compra e Venda de energia número</t>
  </si>
  <si>
    <t>Mês de Competência:</t>
  </si>
  <si>
    <t xml:space="preserve">Preço Unitário de </t>
  </si>
  <si>
    <t>Vencimento:</t>
  </si>
  <si>
    <t>INFORMAÇÕES PARA REMESSA DO DOCUMENTO</t>
  </si>
  <si>
    <t>INFORMAÇÕES PARA PAGAMENTO</t>
  </si>
  <si>
    <t>PRODUTO (S) : 1.70.1 - ENERGIA ELETRICA</t>
  </si>
  <si>
    <t xml:space="preserve"> Valor Bruto (R$):</t>
  </si>
  <si>
    <t xml:space="preserve">BANCO : </t>
  </si>
  <si>
    <t>Entrar com nome do banco</t>
  </si>
  <si>
    <t>IMPOSTOS RETIDOS (%)</t>
  </si>
  <si>
    <t>Valor (R$)</t>
  </si>
  <si>
    <t>N. BANCO:</t>
  </si>
  <si>
    <t>Entrar com número do banco</t>
  </si>
  <si>
    <t>IR</t>
  </si>
  <si>
    <t>AGÊNCIA:</t>
  </si>
  <si>
    <t>Entrar com Agência, Município e UF</t>
  </si>
  <si>
    <t>CSLL</t>
  </si>
  <si>
    <t>C/C:</t>
  </si>
  <si>
    <t>Entrar com Conta Corrente</t>
  </si>
  <si>
    <t>COFINS</t>
  </si>
  <si>
    <t xml:space="preserve"> Valor Líquido por extenso (R$):</t>
  </si>
  <si>
    <t>PIS/PASEP</t>
  </si>
  <si>
    <t>TOTAL</t>
  </si>
  <si>
    <t xml:space="preserve"> Valor  Líquido (R$): </t>
  </si>
  <si>
    <t>________________________________________________</t>
  </si>
  <si>
    <t>Escrever nome de quem assina</t>
  </si>
  <si>
    <r>
      <t xml:space="preserve">Energia Contratada de </t>
    </r>
  </si>
  <si>
    <r>
      <t xml:space="preserve">Parcela: </t>
    </r>
    <r>
      <rPr>
        <b/>
        <sz val="11"/>
        <rFont val="Arial"/>
        <family val="2"/>
      </rPr>
      <t>1ª</t>
    </r>
  </si>
  <si>
    <r>
      <t xml:space="preserve">NOME DO SACADO : </t>
    </r>
    <r>
      <rPr>
        <sz val="11"/>
        <color indexed="18"/>
        <rFont val="Arial"/>
        <family val="2"/>
      </rPr>
      <t>CENTRAIS ELETRICAS BRASILEIRAS S. A. – ELETROBRAS</t>
    </r>
  </si>
  <si>
    <r>
      <t xml:space="preserve">ENDEREÇO: </t>
    </r>
    <r>
      <rPr>
        <sz val="11"/>
        <color indexed="18"/>
        <rFont val="Arial"/>
        <family val="2"/>
      </rPr>
      <t xml:space="preserve">AV. PRESIDENTE VARGAS, Nº 409/10ºANDAR        </t>
    </r>
    <r>
      <rPr>
        <b/>
        <sz val="11"/>
        <color indexed="18"/>
        <rFont val="Arial"/>
        <family val="2"/>
      </rPr>
      <t xml:space="preserve"> CEP: </t>
    </r>
    <r>
      <rPr>
        <sz val="11"/>
        <color indexed="18"/>
        <rFont val="Arial"/>
        <family val="2"/>
      </rPr>
      <t>20071-003</t>
    </r>
  </si>
  <si>
    <r>
      <t xml:space="preserve">MUNICÍPIO: </t>
    </r>
    <r>
      <rPr>
        <sz val="11"/>
        <color indexed="18"/>
        <rFont val="Arial"/>
        <family val="2"/>
      </rPr>
      <t xml:space="preserve">RIO DE JANEIRO           </t>
    </r>
    <r>
      <rPr>
        <b/>
        <sz val="11"/>
        <color indexed="18"/>
        <rFont val="Arial"/>
        <family val="2"/>
      </rPr>
      <t xml:space="preserve">      ESTADO: </t>
    </r>
    <r>
      <rPr>
        <sz val="11"/>
        <color indexed="18"/>
        <rFont val="Arial"/>
        <family val="2"/>
      </rPr>
      <t>RJ</t>
    </r>
  </si>
  <si>
    <r>
      <t xml:space="preserve">C.N.P.J.: </t>
    </r>
    <r>
      <rPr>
        <sz val="11"/>
        <color indexed="18"/>
        <rFont val="Arial"/>
        <family val="2"/>
      </rPr>
      <t>00.001.180./0002-07</t>
    </r>
    <r>
      <rPr>
        <b/>
        <sz val="11"/>
        <color indexed="18"/>
        <rFont val="Arial"/>
        <family val="2"/>
      </rPr>
      <t xml:space="preserve">               INSC.EST.: </t>
    </r>
    <r>
      <rPr>
        <sz val="11"/>
        <color indexed="18"/>
        <rFont val="Arial"/>
        <family val="2"/>
      </rPr>
      <t>77410805</t>
    </r>
  </si>
  <si>
    <r>
      <t>OBS:</t>
    </r>
    <r>
      <rPr>
        <b/>
        <i/>
        <sz val="11"/>
        <color indexed="18"/>
        <rFont val="Arial"/>
        <family val="2"/>
      </rPr>
      <t xml:space="preserve"> </t>
    </r>
    <r>
      <rPr>
        <i/>
        <sz val="11"/>
        <color indexed="18"/>
        <rFont val="Arial"/>
        <family val="2"/>
      </rPr>
      <t>IMPOSTOS RETIDOS CONFORME LEI 10.833/03.</t>
    </r>
  </si>
  <si>
    <r>
      <t xml:space="preserve">Parcela: </t>
    </r>
    <r>
      <rPr>
        <b/>
        <sz val="11"/>
        <rFont val="Arial"/>
        <family val="2"/>
      </rPr>
      <t>2ª</t>
    </r>
  </si>
  <si>
    <r>
      <t xml:space="preserve">Parcela: </t>
    </r>
    <r>
      <rPr>
        <b/>
        <sz val="11"/>
        <rFont val="Arial"/>
        <family val="2"/>
      </rPr>
      <t>3ª</t>
    </r>
  </si>
  <si>
    <t>CT-PROINFA/EÓLICA/CONTRATO</t>
  </si>
  <si>
    <t>Venda de energia</t>
  </si>
  <si>
    <t>BISSEXTO</t>
  </si>
  <si>
    <t>2o ANO</t>
  </si>
  <si>
    <t>3o ANO DIANTE</t>
  </si>
  <si>
    <r>
      <t xml:space="preserve">Valor Garantido pela ELETROBRÁS (cl. 14 </t>
    </r>
    <r>
      <rPr>
        <sz val="10"/>
        <rFont val="Arial"/>
        <family val="2"/>
      </rPr>
      <t>§</t>
    </r>
    <r>
      <rPr>
        <sz val="7.5"/>
        <rFont val="Arial"/>
        <family val="2"/>
      </rPr>
      <t xml:space="preserve"> 14 CCVE)</t>
    </r>
  </si>
  <si>
    <r>
      <t xml:space="preserve">Valor Garantido pela ELETROBRÁS (cl. 14 </t>
    </r>
    <r>
      <rPr>
        <sz val="10"/>
        <rFont val="Arial"/>
        <family val="2"/>
      </rPr>
      <t>§</t>
    </r>
    <r>
      <rPr>
        <sz val="7.5"/>
        <rFont val="Arial"/>
        <family val="2"/>
      </rPr>
      <t xml:space="preserve"> 14 CCVE) (reaj.)</t>
    </r>
  </si>
  <si>
    <t>Contrato de financiamento vigente</t>
  </si>
  <si>
    <t>SIM</t>
  </si>
  <si>
    <t>NÃO</t>
  </si>
  <si>
    <t>Preço ajustado para o ano corrente pelo fator de capacidade:</t>
  </si>
  <si>
    <t>Contratada+Ajuste</t>
  </si>
  <si>
    <t>anual</t>
  </si>
  <si>
    <t>mensal</t>
  </si>
  <si>
    <t>Garantia Contratual (cl. 14 § 14 do CCVE)</t>
  </si>
  <si>
    <t>Duodécimo da Energia Contratual (R$):</t>
  </si>
  <si>
    <t>1a parcela</t>
  </si>
  <si>
    <t>2a parcela</t>
  </si>
  <si>
    <t>3a parcela</t>
  </si>
  <si>
    <t>Duodécimo do Ajuste de Recontabilização(R$):</t>
  </si>
  <si>
    <t>Duodécimo da Garantia Contratual (R$):</t>
  </si>
  <si>
    <t>Ajuste (Recontab+Cons)</t>
  </si>
  <si>
    <t>Ajuste de recontabilização + consumo(reajustado)</t>
  </si>
  <si>
    <t>Ajuste de recontabilização + Consumo Interno (R$/mês)</t>
  </si>
  <si>
    <t>Saldo de Garantia Financeira</t>
  </si>
  <si>
    <t>Percentual de Garantia Financeira</t>
  </si>
  <si>
    <t>Saldo de Garantia Contratual</t>
  </si>
  <si>
    <t>MWh</t>
  </si>
  <si>
    <t>Materiais</t>
  </si>
  <si>
    <t>R$</t>
  </si>
  <si>
    <t>Total dos Descontos</t>
  </si>
  <si>
    <t>-</t>
  </si>
  <si>
    <t>Energia Contratada</t>
  </si>
  <si>
    <t>Ajuste de Energia</t>
  </si>
  <si>
    <t>Garantia Contratual</t>
  </si>
  <si>
    <t>Saldo de Garantia Contratual de anos anteriores</t>
  </si>
  <si>
    <t>Saldo de Garantia Contratual (R$):</t>
  </si>
  <si>
    <t>Duodécimo do Ajuste Financeiro (R$):</t>
  </si>
  <si>
    <t>Garantia</t>
  </si>
  <si>
    <t>REIDI</t>
  </si>
  <si>
    <t xml:space="preserve">Início de Vigência </t>
  </si>
  <si>
    <t>REIDI (R$)</t>
  </si>
  <si>
    <t>Desconto do REIDI (R$/MWh)</t>
  </si>
  <si>
    <t>Valor Garantido pela ELETROBRÁS (após REIDI)</t>
  </si>
  <si>
    <r>
      <t>Valor Garantido pela ELETROBRÁS (após REIDI)</t>
    </r>
    <r>
      <rPr>
        <sz val="7.5"/>
        <rFont val="Arial"/>
        <family val="2"/>
      </rPr>
      <t xml:space="preserve"> (reaj.)</t>
    </r>
  </si>
  <si>
    <t xml:space="preserve">Preço mínimo </t>
  </si>
  <si>
    <t xml:space="preserve">Preço máximo </t>
  </si>
  <si>
    <t>Preço ajustado pelo fator de capacidade:</t>
  </si>
  <si>
    <t>Correção do faturamento de janeiro e fevereiro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</si>
</sst>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0.000"/>
    <numFmt numFmtId="174" formatCode="[$-416]mmmm\-yy;@"/>
    <numFmt numFmtId="175" formatCode="&quot;R$ &quot;#,##0.00"/>
    <numFmt numFmtId="176" formatCode="0.000000"/>
    <numFmt numFmtId="177" formatCode="0.000000_);\(0.000000\)"/>
    <numFmt numFmtId="178" formatCode="#,##0.00000000"/>
    <numFmt numFmtId="179" formatCode="_(&quot;R$&quot;* #,##0.00_);_(&quot;R$&quot;* \(#,##0.00\);_(&quot;R$&quot;* &quot;-&quot;??_);_(@_)"/>
    <numFmt numFmtId="180" formatCode="dd/\ mmmm/\ yyyy"/>
    <numFmt numFmtId="181" formatCode="\(\ 0.00%\ \)"/>
    <numFmt numFmtId="182" formatCode="\(\ _(&quot;R$&quot;* #,##0.00_)\ \);\(_(&quot;R$&quot;* \(#,##0.00\)\ \);_(&quot;R$&quot;* &quot;-&quot;??_);_(@_)"/>
    <numFmt numFmtId="183" formatCode="&quot;R$&quot;\ \ #,##0.00_);[Red]\(&quot;R$&quot;#,##0.00\)"/>
    <numFmt numFmtId="184" formatCode="&quot;R$ &quot;#,##0.000"/>
    <numFmt numFmtId="185" formatCode="_(* #,##0_);_(* \(#,##0\);_(* &quot;-&quot;??_);_(@_)"/>
    <numFmt numFmtId="186" formatCode="dd/mm/yy;@"/>
    <numFmt numFmtId="187" formatCode="_(* #,##0.000_);_(* \(#,##0.000\);_(* &quot;-&quot;??_);_(@_)"/>
    <numFmt numFmtId="188" formatCode="[$-416]dddd\,\ d&quot; de &quot;mmmm&quot; de &quot;yyyy"/>
    <numFmt numFmtId="189" formatCode="_(&quot;R$ &quot;* #,##0.000_);_(&quot;R$ &quot;* \(#,##0.000\);_(&quot;R$ &quot;* &quot;-&quot;???_);_(@_)"/>
    <numFmt numFmtId="190" formatCode="_(* #,##0.0000_);_(* \(#,##0.0000\);_(* &quot;-&quot;??_);_(@_)"/>
    <numFmt numFmtId="191" formatCode="_(* #,##0.0_);_(* \(#,##0.0\);_(* &quot;-&quot;??_);_(@_)"/>
    <numFmt numFmtId="192" formatCode="_(&quot;R$ &quot;* #,##0.000_);_(&quot;R$ &quot;* \(#,##0.000\);_(&quot;R$ &quot;* &quot;-&quot;??_);_(@_)"/>
    <numFmt numFmtId="193" formatCode="_(&quot;R$ &quot;* #,##0.0000_);_(&quot;R$ &quot;* \(#,##0.0000\);_(&quot;R$ &quot;* &quot;-&quot;??_);_(@_)"/>
    <numFmt numFmtId="194" formatCode="_(&quot;R$ &quot;* #,##0.00000_);_(&quot;R$ &quot;* \(#,##0.00000\);_(&quot;R$ &quot;* &quot;-&quot;??_);_(@_)"/>
    <numFmt numFmtId="195" formatCode="#,##0.0000"/>
    <numFmt numFmtId="196" formatCode="#,##0.00000"/>
    <numFmt numFmtId="197" formatCode="&quot;R$ &quot;#,##0.0000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0.0000"/>
    <numFmt numFmtId="203" formatCode="0.00000"/>
    <numFmt numFmtId="204" formatCode="&quot;R$&quot;\ #,##0.00"/>
    <numFmt numFmtId="205" formatCode="#,##0.00_ ;[Red]\-#,##0.00\ "/>
    <numFmt numFmtId="206" formatCode="mmm/yyyy"/>
    <numFmt numFmtId="207" formatCode="0.0%"/>
    <numFmt numFmtId="208" formatCode="&quot;R$ &quot;#,##0.00000"/>
    <numFmt numFmtId="209" formatCode="_-* #,##0.000_-;\-* #,##0.000_-;_-* &quot;-&quot;??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Verdan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i/>
      <sz val="11"/>
      <color indexed="18"/>
      <name val="Arial"/>
      <family val="2"/>
    </font>
    <font>
      <i/>
      <sz val="11"/>
      <color indexed="18"/>
      <name val="Arial"/>
      <family val="2"/>
    </font>
    <font>
      <sz val="7.5"/>
      <name val="Arial"/>
      <family val="2"/>
    </font>
    <font>
      <b/>
      <sz val="9"/>
      <name val="Arial Narrow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theme="5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170" fontId="0" fillId="33" borderId="0" xfId="47" applyFill="1" applyAlignment="1">
      <alignment/>
    </xf>
    <xf numFmtId="173" fontId="0" fillId="33" borderId="0" xfId="0" applyNumberFormat="1" applyFill="1" applyAlignment="1">
      <alignment/>
    </xf>
    <xf numFmtId="177" fontId="0" fillId="33" borderId="0" xfId="47" applyNumberFormat="1" applyFill="1" applyAlignment="1">
      <alignment/>
    </xf>
    <xf numFmtId="0" fontId="0" fillId="33" borderId="10" xfId="0" applyFill="1" applyBorder="1" applyAlignment="1">
      <alignment/>
    </xf>
    <xf numFmtId="170" fontId="0" fillId="33" borderId="11" xfId="47" applyFill="1" applyBorder="1" applyAlignment="1">
      <alignment/>
    </xf>
    <xf numFmtId="170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>
      <alignment/>
    </xf>
    <xf numFmtId="172" fontId="9" fillId="0" borderId="18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2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175" fontId="16" fillId="33" borderId="0" xfId="0" applyNumberFormat="1" applyFont="1" applyFill="1" applyBorder="1" applyAlignment="1">
      <alignment/>
    </xf>
    <xf numFmtId="175" fontId="16" fillId="33" borderId="25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1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1" fontId="0" fillId="33" borderId="0" xfId="0" applyNumberFormat="1" applyFill="1" applyBorder="1" applyAlignment="1" applyProtection="1">
      <alignment horizontal="center"/>
      <protection/>
    </xf>
    <xf numFmtId="174" fontId="18" fillId="33" borderId="0" xfId="0" applyNumberFormat="1" applyFont="1" applyFill="1" applyBorder="1" applyAlignment="1" applyProtection="1">
      <alignment horizontal="left" wrapText="1"/>
      <protection/>
    </xf>
    <xf numFmtId="10" fontId="18" fillId="33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1" fontId="0" fillId="35" borderId="0" xfId="0" applyNumberFormat="1" applyFill="1" applyBorder="1" applyAlignment="1" applyProtection="1">
      <alignment horizontal="center"/>
      <protection/>
    </xf>
    <xf numFmtId="174" fontId="18" fillId="35" borderId="0" xfId="0" applyNumberFormat="1" applyFont="1" applyFill="1" applyBorder="1" applyAlignment="1" applyProtection="1">
      <alignment horizontal="left" wrapText="1"/>
      <protection/>
    </xf>
    <xf numFmtId="10" fontId="18" fillId="35" borderId="0" xfId="0" applyNumberFormat="1" applyFont="1" applyFill="1" applyBorder="1" applyAlignment="1" applyProtection="1">
      <alignment horizontal="right" wrapText="1"/>
      <protection/>
    </xf>
    <xf numFmtId="17" fontId="12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left" indent="2"/>
      <protection/>
    </xf>
    <xf numFmtId="2" fontId="19" fillId="0" borderId="0" xfId="0" applyNumberFormat="1" applyFont="1" applyFill="1" applyBorder="1" applyAlignment="1" applyProtection="1">
      <alignment horizontal="left" indent="3"/>
      <protection/>
    </xf>
    <xf numFmtId="2" fontId="3" fillId="0" borderId="0" xfId="0" applyNumberFormat="1" applyFont="1" applyFill="1" applyBorder="1" applyAlignment="1" applyProtection="1">
      <alignment horizontal="left" indent="3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 horizontal="left" indent="2"/>
      <protection/>
    </xf>
    <xf numFmtId="14" fontId="3" fillId="0" borderId="0" xfId="0" applyNumberFormat="1" applyFont="1" applyFill="1" applyBorder="1" applyAlignment="1" applyProtection="1">
      <alignment horizontal="left" indent="3"/>
      <protection/>
    </xf>
    <xf numFmtId="0" fontId="21" fillId="35" borderId="0" xfId="0" applyFont="1" applyFill="1" applyBorder="1" applyAlignment="1" applyProtection="1">
      <alignment horizontal="center"/>
      <protection/>
    </xf>
    <xf numFmtId="1" fontId="21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" fontId="12" fillId="0" borderId="0" xfId="0" applyNumberFormat="1" applyFont="1" applyFill="1" applyBorder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 horizontal="right" wrapText="1"/>
      <protection/>
    </xf>
    <xf numFmtId="14" fontId="19" fillId="0" borderId="0" xfId="0" applyNumberFormat="1" applyFont="1" applyFill="1" applyBorder="1" applyAlignment="1" applyProtection="1">
      <alignment horizontal="left" indent="3"/>
      <protection/>
    </xf>
    <xf numFmtId="0" fontId="21" fillId="33" borderId="0" xfId="0" applyFont="1" applyFill="1" applyBorder="1" applyAlignment="1" applyProtection="1">
      <alignment horizontal="center"/>
      <protection/>
    </xf>
    <xf numFmtId="1" fontId="21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7" fontId="23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 horizontal="left" indent="3"/>
      <protection/>
    </xf>
    <xf numFmtId="176" fontId="24" fillId="0" borderId="0" xfId="0" applyNumberFormat="1" applyFont="1" applyFill="1" applyBorder="1" applyAlignment="1" applyProtection="1">
      <alignment horizontal="left" indent="2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7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183" fontId="27" fillId="0" borderId="0" xfId="49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centerContinuous" vertical="center"/>
    </xf>
    <xf numFmtId="179" fontId="27" fillId="0" borderId="0" xfId="49" applyFont="1" applyBorder="1" applyAlignment="1">
      <alignment horizontal="left" vertical="center"/>
    </xf>
    <xf numFmtId="179" fontId="28" fillId="0" borderId="0" xfId="49" applyFont="1" applyBorder="1" applyAlignment="1">
      <alignment horizontal="left" vertical="center" indent="1"/>
    </xf>
    <xf numFmtId="0" fontId="29" fillId="33" borderId="28" xfId="0" applyFont="1" applyFill="1" applyBorder="1" applyAlignment="1">
      <alignment horizontal="left" vertical="center" indent="1"/>
    </xf>
    <xf numFmtId="0" fontId="28" fillId="33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Continuous" vertical="center"/>
    </xf>
    <xf numFmtId="0" fontId="25" fillId="0" borderId="29" xfId="0" applyFont="1" applyBorder="1" applyAlignment="1">
      <alignment horizontal="left" vertical="center" indent="1"/>
    </xf>
    <xf numFmtId="0" fontId="25" fillId="0" borderId="30" xfId="0" applyFont="1" applyBorder="1" applyAlignment="1">
      <alignment horizontal="left" vertical="center" wrapText="1" indent="12"/>
    </xf>
    <xf numFmtId="179" fontId="25" fillId="0" borderId="30" xfId="0" applyNumberFormat="1" applyFont="1" applyBorder="1" applyAlignment="1">
      <alignment horizontal="left" vertical="center" wrapText="1" indent="1"/>
    </xf>
    <xf numFmtId="181" fontId="0" fillId="0" borderId="31" xfId="52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32" xfId="0" applyFont="1" applyBorder="1" applyAlignment="1">
      <alignment horizontal="left" vertical="center" indent="1"/>
    </xf>
    <xf numFmtId="0" fontId="26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vertical="center" wrapText="1"/>
    </xf>
    <xf numFmtId="181" fontId="26" fillId="0" borderId="33" xfId="52" applyNumberFormat="1" applyFont="1" applyBorder="1" applyAlignment="1">
      <alignment horizontal="center" vertical="center" wrapText="1"/>
    </xf>
    <xf numFmtId="179" fontId="25" fillId="0" borderId="33" xfId="0" applyNumberFormat="1" applyFont="1" applyBorder="1" applyAlignment="1">
      <alignment vertical="center" wrapText="1"/>
    </xf>
    <xf numFmtId="181" fontId="0" fillId="0" borderId="34" xfId="52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181" fontId="26" fillId="0" borderId="0" xfId="52" applyNumberFormat="1" applyFont="1" applyBorder="1" applyAlignment="1">
      <alignment horizontal="center" vertical="center" wrapText="1"/>
    </xf>
    <xf numFmtId="181" fontId="0" fillId="0" borderId="0" xfId="52" applyNumberFormat="1" applyBorder="1" applyAlignment="1">
      <alignment horizontal="center" vertical="center" wrapText="1"/>
    </xf>
    <xf numFmtId="181" fontId="0" fillId="0" borderId="27" xfId="52" applyNumberForma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82" fontId="25" fillId="0" borderId="0" xfId="0" applyNumberFormat="1" applyFont="1" applyBorder="1" applyAlignment="1">
      <alignment vertical="center" wrapText="1"/>
    </xf>
    <xf numFmtId="171" fontId="30" fillId="35" borderId="35" xfId="63" applyFont="1" applyFill="1" applyBorder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vertical="center"/>
    </xf>
    <xf numFmtId="4" fontId="26" fillId="34" borderId="11" xfId="0" applyNumberFormat="1" applyFont="1" applyFill="1" applyBorder="1" applyAlignment="1" applyProtection="1">
      <alignment horizontal="center" vertical="center"/>
      <protection locked="0"/>
    </xf>
    <xf numFmtId="171" fontId="30" fillId="0" borderId="3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left" vertical="center" indent="1"/>
    </xf>
    <xf numFmtId="0" fontId="29" fillId="33" borderId="32" xfId="0" applyFont="1" applyFill="1" applyBorder="1" applyAlignment="1">
      <alignment horizontal="left" vertical="center"/>
    </xf>
    <xf numFmtId="0" fontId="30" fillId="0" borderId="33" xfId="0" applyFont="1" applyBorder="1" applyAlignment="1">
      <alignment horizontal="right" vertical="center" wrapText="1"/>
    </xf>
    <xf numFmtId="0" fontId="0" fillId="33" borderId="33" xfId="0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left" vertical="center"/>
    </xf>
    <xf numFmtId="4" fontId="26" fillId="37" borderId="11" xfId="0" applyNumberFormat="1" applyFont="1" applyFill="1" applyBorder="1" applyAlignment="1">
      <alignment horizontal="center" vertical="center"/>
    </xf>
    <xf numFmtId="171" fontId="30" fillId="37" borderId="36" xfId="0" applyNumberFormat="1" applyFont="1" applyFill="1" applyBorder="1" applyAlignment="1">
      <alignment horizontal="center" vertical="center"/>
    </xf>
    <xf numFmtId="171" fontId="29" fillId="38" borderId="38" xfId="0" applyNumberFormat="1" applyFont="1" applyFill="1" applyBorder="1" applyAlignment="1">
      <alignment horizontal="left" vertical="center"/>
    </xf>
    <xf numFmtId="0" fontId="29" fillId="35" borderId="39" xfId="0" applyFont="1" applyFill="1" applyBorder="1" applyAlignment="1">
      <alignment horizontal="left" vertical="center" indent="1"/>
    </xf>
    <xf numFmtId="0" fontId="0" fillId="35" borderId="40" xfId="0" applyFill="1" applyBorder="1" applyAlignment="1">
      <alignment horizontal="center" vertical="center"/>
    </xf>
    <xf numFmtId="0" fontId="0" fillId="35" borderId="40" xfId="0" applyFill="1" applyBorder="1" applyAlignment="1">
      <alignment vertical="center"/>
    </xf>
    <xf numFmtId="0" fontId="0" fillId="35" borderId="41" xfId="0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left" vertical="center" indent="1"/>
    </xf>
    <xf numFmtId="0" fontId="0" fillId="33" borderId="43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26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179" fontId="27" fillId="0" borderId="0" xfId="49" applyFont="1" applyBorder="1" applyAlignment="1" applyProtection="1">
      <alignment horizontal="left" vertical="center"/>
      <protection/>
    </xf>
    <xf numFmtId="179" fontId="28" fillId="0" borderId="0" xfId="49" applyFont="1" applyBorder="1" applyAlignment="1" applyProtection="1">
      <alignment horizontal="left" vertical="center" indent="1"/>
      <protection/>
    </xf>
    <xf numFmtId="0" fontId="29" fillId="33" borderId="28" xfId="0" applyFont="1" applyFill="1" applyBorder="1" applyAlignment="1" applyProtection="1">
      <alignment horizontal="left" vertical="center" indent="1"/>
      <protection/>
    </xf>
    <xf numFmtId="0" fontId="28" fillId="33" borderId="0" xfId="0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Continuous" vertical="center"/>
      <protection/>
    </xf>
    <xf numFmtId="0" fontId="25" fillId="0" borderId="29" xfId="0" applyFont="1" applyBorder="1" applyAlignment="1" applyProtection="1">
      <alignment horizontal="left" vertical="center" indent="1"/>
      <protection/>
    </xf>
    <xf numFmtId="0" fontId="25" fillId="0" borderId="30" xfId="0" applyFont="1" applyBorder="1" applyAlignment="1" applyProtection="1">
      <alignment horizontal="left" vertical="center" wrapText="1" indent="12"/>
      <protection/>
    </xf>
    <xf numFmtId="179" fontId="25" fillId="0" borderId="30" xfId="0" applyNumberFormat="1" applyFont="1" applyBorder="1" applyAlignment="1" applyProtection="1">
      <alignment horizontal="left" vertical="center" wrapText="1" indent="1"/>
      <protection/>
    </xf>
    <xf numFmtId="181" fontId="0" fillId="0" borderId="31" xfId="52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9" fillId="0" borderId="32" xfId="0" applyFont="1" applyBorder="1" applyAlignment="1" applyProtection="1">
      <alignment horizontal="left" vertical="center" indent="1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181" fontId="26" fillId="0" borderId="33" xfId="52" applyNumberFormat="1" applyFont="1" applyBorder="1" applyAlignment="1" applyProtection="1">
      <alignment horizontal="center" vertical="center" wrapText="1"/>
      <protection/>
    </xf>
    <xf numFmtId="179" fontId="25" fillId="0" borderId="33" xfId="0" applyNumberFormat="1" applyFont="1" applyBorder="1" applyAlignment="1" applyProtection="1">
      <alignment vertical="center" wrapText="1"/>
      <protection/>
    </xf>
    <xf numFmtId="181" fontId="0" fillId="0" borderId="34" xfId="52" applyNumberFormat="1" applyFont="1" applyBorder="1" applyAlignment="1" applyProtection="1">
      <alignment horizontal="center" vertical="center" wrapText="1"/>
      <protection/>
    </xf>
    <xf numFmtId="0" fontId="29" fillId="0" borderId="28" xfId="0" applyFont="1" applyBorder="1" applyAlignment="1" applyProtection="1">
      <alignment horizontal="left" vertical="center" inden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vertical="center" wrapText="1"/>
      <protection/>
    </xf>
    <xf numFmtId="181" fontId="26" fillId="0" borderId="0" xfId="52" applyNumberFormat="1" applyFont="1" applyBorder="1" applyAlignment="1" applyProtection="1">
      <alignment horizontal="center" vertical="center" wrapText="1"/>
      <protection/>
    </xf>
    <xf numFmtId="181" fontId="0" fillId="0" borderId="0" xfId="52" applyNumberFormat="1" applyBorder="1" applyAlignment="1" applyProtection="1">
      <alignment horizontal="center" vertical="center" wrapText="1"/>
      <protection/>
    </xf>
    <xf numFmtId="181" fontId="0" fillId="0" borderId="27" xfId="52" applyNumberForma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182" fontId="25" fillId="0" borderId="0" xfId="0" applyNumberFormat="1" applyFont="1" applyBorder="1" applyAlignment="1" applyProtection="1">
      <alignment vertical="center" wrapText="1"/>
      <protection/>
    </xf>
    <xf numFmtId="171" fontId="30" fillId="35" borderId="35" xfId="63" applyFont="1" applyFill="1" applyBorder="1" applyAlignment="1" applyProtection="1">
      <alignment horizontal="center" vertical="center"/>
      <protection/>
    </xf>
    <xf numFmtId="0" fontId="26" fillId="33" borderId="36" xfId="0" applyFont="1" applyFill="1" applyBorder="1" applyAlignment="1" applyProtection="1">
      <alignment horizontal="center" vertical="center"/>
      <protection/>
    </xf>
    <xf numFmtId="0" fontId="26" fillId="36" borderId="11" xfId="0" applyFont="1" applyFill="1" applyBorder="1" applyAlignment="1" applyProtection="1">
      <alignment vertical="center"/>
      <protection/>
    </xf>
    <xf numFmtId="171" fontId="30" fillId="0" borderId="36" xfId="0" applyNumberFormat="1" applyFont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horizontal="left" vertical="center" indent="1"/>
      <protection/>
    </xf>
    <xf numFmtId="0" fontId="29" fillId="33" borderId="32" xfId="0" applyFont="1" applyFill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right" vertical="center" wrapText="1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26" fillId="37" borderId="11" xfId="0" applyFont="1" applyFill="1" applyBorder="1" applyAlignment="1" applyProtection="1">
      <alignment horizontal="left" vertical="center"/>
      <protection/>
    </xf>
    <xf numFmtId="4" fontId="26" fillId="37" borderId="11" xfId="0" applyNumberFormat="1" applyFont="1" applyFill="1" applyBorder="1" applyAlignment="1" applyProtection="1">
      <alignment horizontal="center" vertical="center"/>
      <protection/>
    </xf>
    <xf numFmtId="171" fontId="30" fillId="37" borderId="36" xfId="0" applyNumberFormat="1" applyFont="1" applyFill="1" applyBorder="1" applyAlignment="1" applyProtection="1">
      <alignment horizontal="center" vertical="center"/>
      <protection/>
    </xf>
    <xf numFmtId="171" fontId="29" fillId="38" borderId="38" xfId="0" applyNumberFormat="1" applyFont="1" applyFill="1" applyBorder="1" applyAlignment="1" applyProtection="1">
      <alignment horizontal="left" vertical="center"/>
      <protection/>
    </xf>
    <xf numFmtId="0" fontId="29" fillId="35" borderId="39" xfId="0" applyFont="1" applyFill="1" applyBorder="1" applyAlignment="1" applyProtection="1">
      <alignment horizontal="left" vertical="center" indent="1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29" fillId="33" borderId="42" xfId="0" applyFont="1" applyFill="1" applyBorder="1" applyAlignment="1" applyProtection="1">
      <alignment horizontal="left" vertical="center" indent="1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6" fillId="33" borderId="0" xfId="0" applyFont="1" applyFill="1" applyAlignment="1" applyProtection="1">
      <alignment horizontal="centerContinuous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2" fontId="0" fillId="33" borderId="0" xfId="0" applyNumberFormat="1" applyFill="1" applyAlignment="1">
      <alignment/>
    </xf>
    <xf numFmtId="170" fontId="0" fillId="33" borderId="0" xfId="47" applyNumberFormat="1" applyFill="1" applyAlignment="1">
      <alignment/>
    </xf>
    <xf numFmtId="170" fontId="0" fillId="33" borderId="45" xfId="47" applyFill="1" applyBorder="1" applyAlignment="1">
      <alignment/>
    </xf>
    <xf numFmtId="0" fontId="7" fillId="33" borderId="46" xfId="0" applyFont="1" applyFill="1" applyBorder="1" applyAlignment="1">
      <alignment/>
    </xf>
    <xf numFmtId="0" fontId="0" fillId="33" borderId="47" xfId="0" applyFill="1" applyBorder="1" applyAlignment="1">
      <alignment/>
    </xf>
    <xf numFmtId="175" fontId="0" fillId="33" borderId="21" xfId="0" applyNumberFormat="1" applyFill="1" applyBorder="1" applyAlignment="1">
      <alignment horizontal="center"/>
    </xf>
    <xf numFmtId="175" fontId="0" fillId="33" borderId="48" xfId="0" applyNumberFormat="1" applyFill="1" applyBorder="1" applyAlignment="1">
      <alignment horizontal="center"/>
    </xf>
    <xf numFmtId="0" fontId="21" fillId="33" borderId="0" xfId="0" applyFont="1" applyFill="1" applyAlignment="1">
      <alignment/>
    </xf>
    <xf numFmtId="0" fontId="0" fillId="33" borderId="49" xfId="0" applyFill="1" applyBorder="1" applyAlignment="1">
      <alignment/>
    </xf>
    <xf numFmtId="0" fontId="11" fillId="33" borderId="2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9" fillId="33" borderId="53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175" fontId="16" fillId="33" borderId="24" xfId="0" applyNumberFormat="1" applyFont="1" applyFill="1" applyBorder="1" applyAlignment="1">
      <alignment/>
    </xf>
    <xf numFmtId="172" fontId="18" fillId="33" borderId="0" xfId="0" applyNumberFormat="1" applyFont="1" applyFill="1" applyBorder="1" applyAlignment="1" applyProtection="1">
      <alignment horizontal="center" wrapText="1"/>
      <protection/>
    </xf>
    <xf numFmtId="172" fontId="18" fillId="35" borderId="0" xfId="0" applyNumberFormat="1" applyFont="1" applyFill="1" applyBorder="1" applyAlignment="1" applyProtection="1">
      <alignment horizontal="center" wrapText="1"/>
      <protection/>
    </xf>
    <xf numFmtId="0" fontId="0" fillId="33" borderId="54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175" fontId="0" fillId="33" borderId="36" xfId="0" applyNumberFormat="1" applyFont="1" applyFill="1" applyBorder="1" applyAlignment="1">
      <alignment/>
    </xf>
    <xf numFmtId="0" fontId="0" fillId="33" borderId="57" xfId="0" applyFont="1" applyFill="1" applyBorder="1" applyAlignment="1">
      <alignment/>
    </xf>
    <xf numFmtId="175" fontId="0" fillId="33" borderId="58" xfId="0" applyNumberFormat="1" applyFont="1" applyFill="1" applyBorder="1" applyAlignment="1">
      <alignment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63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34" fillId="33" borderId="63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4" fontId="9" fillId="0" borderId="18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/>
    </xf>
    <xf numFmtId="4" fontId="13" fillId="33" borderId="18" xfId="0" applyNumberFormat="1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172" fontId="0" fillId="33" borderId="65" xfId="0" applyNumberFormat="1" applyFont="1" applyFill="1" applyBorder="1" applyAlignment="1">
      <alignment/>
    </xf>
    <xf numFmtId="172" fontId="0" fillId="33" borderId="66" xfId="0" applyNumberFormat="1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47" xfId="0" applyFont="1" applyFill="1" applyBorder="1" applyAlignment="1">
      <alignment/>
    </xf>
    <xf numFmtId="173" fontId="7" fillId="33" borderId="47" xfId="0" applyNumberFormat="1" applyFont="1" applyFill="1" applyBorder="1" applyAlignment="1">
      <alignment/>
    </xf>
    <xf numFmtId="175" fontId="0" fillId="33" borderId="47" xfId="63" applyNumberFormat="1" applyFont="1" applyFill="1" applyBorder="1" applyAlignment="1">
      <alignment horizontal="left"/>
    </xf>
    <xf numFmtId="175" fontId="0" fillId="33" borderId="47" xfId="63" applyNumberFormat="1" applyFont="1" applyFill="1" applyBorder="1" applyAlignment="1" quotePrefix="1">
      <alignment horizontal="left"/>
    </xf>
    <xf numFmtId="175" fontId="0" fillId="33" borderId="47" xfId="0" applyNumberFormat="1" applyFill="1" applyBorder="1" applyAlignment="1">
      <alignment horizontal="left"/>
    </xf>
    <xf numFmtId="172" fontId="0" fillId="33" borderId="47" xfId="0" applyNumberFormat="1" applyFill="1" applyBorder="1" applyAlignment="1">
      <alignment horizontal="left"/>
    </xf>
    <xf numFmtId="0" fontId="7" fillId="33" borderId="67" xfId="0" applyFont="1" applyFill="1" applyBorder="1" applyAlignment="1">
      <alignment/>
    </xf>
    <xf numFmtId="175" fontId="0" fillId="33" borderId="23" xfId="0" applyNumberFormat="1" applyFill="1" applyBorder="1" applyAlignment="1">
      <alignment horizontal="left"/>
    </xf>
    <xf numFmtId="173" fontId="0" fillId="33" borderId="47" xfId="0" applyNumberFormat="1" applyFill="1" applyBorder="1" applyAlignment="1">
      <alignment horizontal="left"/>
    </xf>
    <xf numFmtId="0" fontId="7" fillId="33" borderId="47" xfId="0" applyFont="1" applyFill="1" applyBorder="1" applyAlignment="1">
      <alignment/>
    </xf>
    <xf numFmtId="0" fontId="0" fillId="33" borderId="47" xfId="0" applyFill="1" applyBorder="1" applyAlignment="1" quotePrefix="1">
      <alignment horizontal="left"/>
    </xf>
    <xf numFmtId="175" fontId="8" fillId="33" borderId="0" xfId="0" applyNumberFormat="1" applyFont="1" applyFill="1" applyAlignment="1">
      <alignment/>
    </xf>
    <xf numFmtId="0" fontId="6" fillId="33" borderId="17" xfId="0" applyFont="1" applyFill="1" applyBorder="1" applyAlignment="1">
      <alignment/>
    </xf>
    <xf numFmtId="175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/>
    </xf>
    <xf numFmtId="0" fontId="7" fillId="33" borderId="70" xfId="0" applyFont="1" applyFill="1" applyBorder="1" applyAlignment="1">
      <alignment/>
    </xf>
    <xf numFmtId="0" fontId="27" fillId="0" borderId="2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205" fontId="13" fillId="33" borderId="18" xfId="0" applyNumberFormat="1" applyFont="1" applyFill="1" applyBorder="1" applyAlignment="1">
      <alignment horizontal="center"/>
    </xf>
    <xf numFmtId="0" fontId="35" fillId="33" borderId="0" xfId="0" applyFont="1" applyFill="1" applyAlignment="1">
      <alignment horizontal="center"/>
    </xf>
    <xf numFmtId="0" fontId="7" fillId="33" borderId="71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73" fillId="33" borderId="0" xfId="0" applyFont="1" applyFill="1" applyAlignment="1">
      <alignment/>
    </xf>
    <xf numFmtId="170" fontId="73" fillId="33" borderId="0" xfId="47" applyFont="1" applyFill="1" applyAlignment="1">
      <alignment/>
    </xf>
    <xf numFmtId="177" fontId="73" fillId="33" borderId="0" xfId="47" applyNumberFormat="1" applyFont="1" applyFill="1" applyAlignment="1">
      <alignment/>
    </xf>
    <xf numFmtId="172" fontId="73" fillId="33" borderId="0" xfId="0" applyNumberFormat="1" applyFont="1" applyFill="1" applyAlignment="1">
      <alignment/>
    </xf>
    <xf numFmtId="170" fontId="73" fillId="33" borderId="0" xfId="47" applyNumberFormat="1" applyFont="1" applyFill="1" applyAlignment="1">
      <alignment/>
    </xf>
    <xf numFmtId="0" fontId="0" fillId="33" borderId="0" xfId="0" applyFont="1" applyFill="1" applyAlignment="1">
      <alignment/>
    </xf>
    <xf numFmtId="170" fontId="0" fillId="33" borderId="11" xfId="47" applyFont="1" applyFill="1" applyBorder="1" applyAlignment="1">
      <alignment/>
    </xf>
    <xf numFmtId="0" fontId="74" fillId="39" borderId="0" xfId="0" applyFont="1" applyFill="1" applyAlignment="1">
      <alignment/>
    </xf>
    <xf numFmtId="0" fontId="75" fillId="39" borderId="0" xfId="0" applyFont="1" applyFill="1" applyAlignment="1">
      <alignment/>
    </xf>
    <xf numFmtId="0" fontId="76" fillId="39" borderId="0" xfId="0" applyFont="1" applyFill="1" applyAlignment="1">
      <alignment horizontal="center"/>
    </xf>
    <xf numFmtId="14" fontId="74" fillId="39" borderId="0" xfId="0" applyNumberFormat="1" applyFont="1" applyFill="1" applyAlignment="1">
      <alignment/>
    </xf>
    <xf numFmtId="1" fontId="74" fillId="39" borderId="0" xfId="0" applyNumberFormat="1" applyFont="1" applyFill="1" applyAlignment="1">
      <alignment/>
    </xf>
    <xf numFmtId="0" fontId="74" fillId="39" borderId="0" xfId="0" applyNumberFormat="1" applyFont="1" applyFill="1" applyAlignment="1">
      <alignment/>
    </xf>
    <xf numFmtId="9" fontId="74" fillId="33" borderId="0" xfId="47" applyNumberFormat="1" applyFont="1" applyFill="1" applyAlignment="1">
      <alignment/>
    </xf>
    <xf numFmtId="9" fontId="74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14" fontId="74" fillId="33" borderId="0" xfId="0" applyNumberFormat="1" applyFont="1" applyFill="1" applyAlignment="1">
      <alignment/>
    </xf>
    <xf numFmtId="0" fontId="77" fillId="33" borderId="0" xfId="0" applyFont="1" applyFill="1" applyAlignment="1">
      <alignment horizontal="center"/>
    </xf>
    <xf numFmtId="0" fontId="78" fillId="33" borderId="0" xfId="0" applyFont="1" applyFill="1" applyAlignment="1">
      <alignment/>
    </xf>
    <xf numFmtId="170" fontId="0" fillId="33" borderId="45" xfId="47" applyFont="1" applyFill="1" applyBorder="1" applyAlignment="1">
      <alignment/>
    </xf>
    <xf numFmtId="170" fontId="0" fillId="33" borderId="12" xfId="0" applyNumberFormat="1" applyFont="1" applyFill="1" applyBorder="1" applyAlignment="1">
      <alignment/>
    </xf>
    <xf numFmtId="170" fontId="0" fillId="33" borderId="45" xfId="0" applyNumberFormat="1" applyFont="1" applyFill="1" applyBorder="1" applyAlignment="1">
      <alignment/>
    </xf>
    <xf numFmtId="8" fontId="0" fillId="33" borderId="12" xfId="0" applyNumberFormat="1" applyFont="1" applyFill="1" applyBorder="1" applyAlignment="1">
      <alignment/>
    </xf>
    <xf numFmtId="8" fontId="7" fillId="33" borderId="47" xfId="0" applyNumberFormat="1" applyFont="1" applyFill="1" applyBorder="1" applyAlignment="1">
      <alignment/>
    </xf>
    <xf numFmtId="0" fontId="74" fillId="39" borderId="17" xfId="0" applyFont="1" applyFill="1" applyBorder="1" applyAlignment="1">
      <alignment/>
    </xf>
    <xf numFmtId="0" fontId="74" fillId="39" borderId="0" xfId="0" applyFont="1" applyFill="1" applyBorder="1" applyAlignment="1">
      <alignment/>
    </xf>
    <xf numFmtId="0" fontId="74" fillId="33" borderId="0" xfId="0" applyFont="1" applyFill="1" applyAlignment="1">
      <alignment horizontal="right"/>
    </xf>
    <xf numFmtId="170" fontId="74" fillId="33" borderId="0" xfId="0" applyNumberFormat="1" applyFont="1" applyFill="1" applyAlignment="1">
      <alignment/>
    </xf>
    <xf numFmtId="2" fontId="74" fillId="33" borderId="0" xfId="0" applyNumberFormat="1" applyFont="1" applyFill="1" applyAlignment="1">
      <alignment/>
    </xf>
    <xf numFmtId="172" fontId="18" fillId="35" borderId="0" xfId="0" applyNumberFormat="1" applyFont="1" applyFill="1" applyBorder="1" applyAlignment="1" applyProtection="1">
      <alignment horizontal="center" wrapText="1"/>
      <protection locked="0"/>
    </xf>
    <xf numFmtId="172" fontId="18" fillId="33" borderId="0" xfId="0" applyNumberFormat="1" applyFont="1" applyFill="1" applyBorder="1" applyAlignment="1" applyProtection="1">
      <alignment horizontal="center" wrapText="1"/>
      <protection locked="0"/>
    </xf>
    <xf numFmtId="8" fontId="73" fillId="33" borderId="0" xfId="0" applyNumberFormat="1" applyFont="1" applyFill="1" applyAlignment="1">
      <alignment/>
    </xf>
    <xf numFmtId="0" fontId="0" fillId="39" borderId="0" xfId="0" applyFont="1" applyFill="1" applyAlignment="1" applyProtection="1">
      <alignment/>
      <protection locked="0"/>
    </xf>
    <xf numFmtId="1" fontId="0" fillId="10" borderId="12" xfId="0" applyNumberFormat="1" applyFill="1" applyBorder="1" applyAlignment="1" applyProtection="1">
      <alignment/>
      <protection locked="0"/>
    </xf>
    <xf numFmtId="14" fontId="0" fillId="10" borderId="12" xfId="0" applyNumberFormat="1" applyFill="1" applyBorder="1" applyAlignment="1" applyProtection="1">
      <alignment/>
      <protection locked="0"/>
    </xf>
    <xf numFmtId="2" fontId="0" fillId="10" borderId="12" xfId="0" applyNumberFormat="1" applyFill="1" applyBorder="1" applyAlignment="1" applyProtection="1">
      <alignment/>
      <protection locked="0"/>
    </xf>
    <xf numFmtId="172" fontId="0" fillId="10" borderId="12" xfId="0" applyNumberFormat="1" applyFill="1" applyBorder="1" applyAlignment="1" applyProtection="1">
      <alignment/>
      <protection locked="0"/>
    </xf>
    <xf numFmtId="175" fontId="0" fillId="10" borderId="12" xfId="0" applyNumberFormat="1" applyFill="1" applyBorder="1" applyAlignment="1" applyProtection="1">
      <alignment/>
      <protection locked="0"/>
    </xf>
    <xf numFmtId="1" fontId="0" fillId="10" borderId="12" xfId="0" applyNumberFormat="1" applyFill="1" applyBorder="1" applyAlignment="1" applyProtection="1">
      <alignment horizontal="right"/>
      <protection locked="0"/>
    </xf>
    <xf numFmtId="10" fontId="0" fillId="10" borderId="72" xfId="0" applyNumberFormat="1" applyFill="1" applyBorder="1" applyAlignment="1" applyProtection="1">
      <alignment horizontal="right"/>
      <protection locked="0"/>
    </xf>
    <xf numFmtId="170" fontId="0" fillId="10" borderId="73" xfId="47" applyFont="1" applyFill="1" applyBorder="1" applyAlignment="1" applyProtection="1">
      <alignment horizontal="right"/>
      <protection locked="0"/>
    </xf>
    <xf numFmtId="0" fontId="4" fillId="33" borderId="59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center"/>
    </xf>
    <xf numFmtId="0" fontId="7" fillId="35" borderId="74" xfId="0" applyFont="1" applyFill="1" applyBorder="1" applyAlignment="1">
      <alignment horizontal="center"/>
    </xf>
    <xf numFmtId="0" fontId="7" fillId="35" borderId="75" xfId="0" applyFont="1" applyFill="1" applyBorder="1" applyAlignment="1">
      <alignment horizontal="center"/>
    </xf>
    <xf numFmtId="0" fontId="7" fillId="35" borderId="76" xfId="0" applyFont="1" applyFill="1" applyBorder="1" applyAlignment="1">
      <alignment horizontal="center"/>
    </xf>
    <xf numFmtId="0" fontId="7" fillId="34" borderId="74" xfId="0" applyFont="1" applyFill="1" applyBorder="1" applyAlignment="1" applyProtection="1">
      <alignment horizontal="center"/>
      <protection/>
    </xf>
    <xf numFmtId="0" fontId="7" fillId="34" borderId="75" xfId="0" applyFont="1" applyFill="1" applyBorder="1" applyAlignment="1" applyProtection="1">
      <alignment horizontal="center"/>
      <protection/>
    </xf>
    <xf numFmtId="0" fontId="7" fillId="34" borderId="76" xfId="0" applyFont="1" applyFill="1" applyBorder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30" fillId="33" borderId="28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30" fillId="34" borderId="78" xfId="0" applyFont="1" applyFill="1" applyBorder="1" applyAlignment="1" applyProtection="1">
      <alignment horizontal="left" vertical="center" wrapText="1"/>
      <protection locked="0"/>
    </xf>
    <xf numFmtId="0" fontId="30" fillId="34" borderId="79" xfId="0" applyFont="1" applyFill="1" applyBorder="1" applyAlignment="1" applyProtection="1">
      <alignment horizontal="left" vertical="center" wrapText="1"/>
      <protection locked="0"/>
    </xf>
    <xf numFmtId="0" fontId="30" fillId="34" borderId="0" xfId="0" applyFont="1" applyFill="1" applyBorder="1" applyAlignment="1" applyProtection="1">
      <alignment horizontal="left" vertical="center" wrapText="1"/>
      <protection locked="0"/>
    </xf>
    <xf numFmtId="0" fontId="30" fillId="34" borderId="77" xfId="0" applyFont="1" applyFill="1" applyBorder="1" applyAlignment="1" applyProtection="1">
      <alignment horizontal="left" vertical="center" wrapText="1"/>
      <protection locked="0"/>
    </xf>
    <xf numFmtId="0" fontId="29" fillId="38" borderId="45" xfId="0" applyFont="1" applyFill="1" applyBorder="1" applyAlignment="1">
      <alignment horizontal="center" vertical="center"/>
    </xf>
    <xf numFmtId="0" fontId="29" fillId="38" borderId="80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80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25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25" fillId="34" borderId="0" xfId="0" applyFont="1" applyFill="1" applyAlignment="1" applyProtection="1">
      <alignment horizontal="center"/>
      <protection locked="0"/>
    </xf>
    <xf numFmtId="0" fontId="2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5" borderId="80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180" fontId="7" fillId="34" borderId="0" xfId="0" applyNumberFormat="1" applyFont="1" applyFill="1" applyAlignment="1" applyProtection="1">
      <alignment horizontal="left" vertical="center"/>
      <protection locked="0"/>
    </xf>
    <xf numFmtId="0" fontId="25" fillId="34" borderId="81" xfId="0" applyFont="1" applyFill="1" applyBorder="1" applyAlignment="1" applyProtection="1">
      <alignment horizontal="center"/>
      <protection locked="0"/>
    </xf>
    <xf numFmtId="0" fontId="27" fillId="0" borderId="28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27" xfId="0" applyFont="1" applyFill="1" applyBorder="1" applyAlignment="1" applyProtection="1">
      <alignment vertical="center"/>
      <protection/>
    </xf>
    <xf numFmtId="0" fontId="27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35" borderId="74" xfId="0" applyFont="1" applyFill="1" applyBorder="1" applyAlignment="1">
      <alignment horizontal="left" vertical="center"/>
    </xf>
    <xf numFmtId="0" fontId="26" fillId="35" borderId="75" xfId="0" applyFont="1" applyFill="1" applyBorder="1" applyAlignment="1">
      <alignment horizontal="left" vertical="center"/>
    </xf>
    <xf numFmtId="0" fontId="26" fillId="35" borderId="7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 applyProtection="1">
      <alignment horizontal="center" vertical="center" wrapText="1"/>
      <protection/>
    </xf>
    <xf numFmtId="0" fontId="26" fillId="35" borderId="74" xfId="0" applyFont="1" applyFill="1" applyBorder="1" applyAlignment="1" applyProtection="1">
      <alignment horizontal="left" vertical="center"/>
      <protection/>
    </xf>
    <xf numFmtId="0" fontId="26" fillId="35" borderId="75" xfId="0" applyFont="1" applyFill="1" applyBorder="1" applyAlignment="1" applyProtection="1">
      <alignment horizontal="left" vertical="center"/>
      <protection/>
    </xf>
    <xf numFmtId="0" fontId="26" fillId="35" borderId="76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 applyProtection="1">
      <alignment horizontal="left" vertical="center" wrapText="1"/>
      <protection/>
    </xf>
    <xf numFmtId="0" fontId="30" fillId="33" borderId="0" xfId="0" applyFont="1" applyFill="1" applyAlignment="1" applyProtection="1">
      <alignment horizontal="left" vertical="center"/>
      <protection/>
    </xf>
    <xf numFmtId="0" fontId="30" fillId="33" borderId="77" xfId="0" applyFont="1" applyFill="1" applyBorder="1" applyAlignment="1" applyProtection="1">
      <alignment horizontal="left" vertical="center"/>
      <protection/>
    </xf>
    <xf numFmtId="0" fontId="29" fillId="35" borderId="45" xfId="0" applyFont="1" applyFill="1" applyBorder="1" applyAlignment="1" applyProtection="1">
      <alignment horizontal="center" vertical="center"/>
      <protection/>
    </xf>
    <xf numFmtId="0" fontId="29" fillId="35" borderId="80" xfId="0" applyFont="1" applyFill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left" vertical="center" indent="1"/>
      <protection/>
    </xf>
    <xf numFmtId="0" fontId="27" fillId="0" borderId="0" xfId="0" applyFont="1" applyBorder="1" applyAlignment="1" applyProtection="1">
      <alignment horizontal="left" vertical="center" indent="1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27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180" fontId="7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30" fillId="33" borderId="28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27" xfId="0" applyFont="1" applyFill="1" applyBorder="1" applyAlignment="1" applyProtection="1">
      <alignment horizontal="center" vertical="center"/>
      <protection/>
    </xf>
    <xf numFmtId="0" fontId="29" fillId="38" borderId="45" xfId="0" applyFont="1" applyFill="1" applyBorder="1" applyAlignment="1" applyProtection="1">
      <alignment horizontal="center" vertical="center"/>
      <protection/>
    </xf>
    <xf numFmtId="0" fontId="29" fillId="38" borderId="80" xfId="0" applyFont="1" applyFill="1" applyBorder="1" applyAlignment="1" applyProtection="1">
      <alignment horizontal="center" vertical="center"/>
      <protection/>
    </xf>
    <xf numFmtId="0" fontId="26" fillId="33" borderId="45" xfId="0" applyFont="1" applyFill="1" applyBorder="1" applyAlignment="1" applyProtection="1">
      <alignment horizontal="center" vertical="center"/>
      <protection/>
    </xf>
    <xf numFmtId="0" fontId="26" fillId="33" borderId="80" xfId="0" applyFont="1" applyFill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Fill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FATURA PROINFA 01-07 (2)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rgb="FFFF0000"/>
      </font>
    </dxf>
    <dxf>
      <font>
        <color rgb="FFFF000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3</xdr:row>
      <xdr:rowOff>95250</xdr:rowOff>
    </xdr:from>
    <xdr:to>
      <xdr:col>6</xdr:col>
      <xdr:colOff>1095375</xdr:colOff>
      <xdr:row>19</xdr:row>
      <xdr:rowOff>142875</xdr:rowOff>
    </xdr:to>
    <xdr:pic>
      <xdr:nvPicPr>
        <xdr:cNvPr id="1" name="Picture 67" descr="confe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714375"/>
          <a:ext cx="49815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E\PROINFA\Ajuste\Planilhas%20para%20confer&#234;ncia%20de%20faturas\2012\IGPM%20para%20Confer&#234;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son\AppData\Local\Microsoft\Windows\Temporary%20Internet%20Files\Content.Outlook\IDS1Q85M\IGPM%20para%20Confer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GP-M"/>
    </sheetNames>
    <sheetDataSet>
      <sheetData sheetId="0">
        <row r="4">
          <cell r="D4">
            <v>299.097</v>
          </cell>
        </row>
        <row r="5">
          <cell r="D5">
            <v>302.484</v>
          </cell>
        </row>
        <row r="6">
          <cell r="D6">
            <v>306.151</v>
          </cell>
        </row>
        <row r="7">
          <cell r="D7">
            <v>310.152</v>
          </cell>
        </row>
        <row r="8">
          <cell r="D8">
            <v>314.419</v>
          </cell>
        </row>
        <row r="9">
          <cell r="D9">
            <v>318.532</v>
          </cell>
        </row>
        <row r="10">
          <cell r="D10">
            <v>322.412</v>
          </cell>
        </row>
        <row r="11">
          <cell r="D11">
            <v>324.651</v>
          </cell>
        </row>
        <row r="12">
          <cell r="D12">
            <v>325.925</v>
          </cell>
        </row>
        <row r="13">
          <cell r="D13">
            <v>328.588</v>
          </cell>
        </row>
        <row r="14">
          <cell r="D14">
            <v>331.005</v>
          </cell>
        </row>
        <row r="15">
          <cell r="D15">
            <v>332.298</v>
          </cell>
        </row>
        <row r="16">
          <cell r="D16">
            <v>333.288</v>
          </cell>
        </row>
        <row r="17">
          <cell r="D17">
            <v>336.123</v>
          </cell>
        </row>
        <row r="18">
          <cell r="D18">
            <v>339.03</v>
          </cell>
        </row>
        <row r="19">
          <cell r="D19">
            <v>338.299</v>
          </cell>
        </row>
        <row r="20">
          <cell r="D20">
            <v>336.801</v>
          </cell>
        </row>
        <row r="21">
          <cell r="D21">
            <v>335.663</v>
          </cell>
        </row>
        <row r="22">
          <cell r="D22">
            <v>333.474</v>
          </cell>
        </row>
        <row r="23">
          <cell r="D23">
            <v>331.69</v>
          </cell>
        </row>
        <row r="24">
          <cell r="D24">
            <v>333.694</v>
          </cell>
        </row>
        <row r="25">
          <cell r="D25">
            <v>335.033</v>
          </cell>
        </row>
        <row r="26">
          <cell r="D26">
            <v>335.006</v>
          </cell>
        </row>
        <row r="27">
          <cell r="D27">
            <v>338.083</v>
          </cell>
        </row>
        <row r="28">
          <cell r="D28">
            <v>338.128</v>
          </cell>
        </row>
        <row r="29">
          <cell r="D29">
            <v>337.339</v>
          </cell>
        </row>
        <row r="30">
          <cell r="D30">
            <v>335.921</v>
          </cell>
        </row>
        <row r="31">
          <cell r="D31">
            <v>337.185</v>
          </cell>
        </row>
        <row r="32">
          <cell r="D32">
            <v>339.712</v>
          </cell>
        </row>
        <row r="33">
          <cell r="D33">
            <v>340.312</v>
          </cell>
        </row>
        <row r="34">
          <cell r="D34">
            <v>341.574</v>
          </cell>
        </row>
        <row r="35">
          <cell r="D35">
            <v>342.561</v>
          </cell>
        </row>
        <row r="36">
          <cell r="D36">
            <v>344.155</v>
          </cell>
        </row>
        <row r="37">
          <cell r="D37">
            <v>346.746</v>
          </cell>
        </row>
        <row r="38">
          <cell r="D38">
            <v>347.842</v>
          </cell>
        </row>
        <row r="39">
          <cell r="D39">
            <v>349.593</v>
          </cell>
        </row>
        <row r="40">
          <cell r="D40">
            <v>350.524</v>
          </cell>
        </row>
        <row r="41">
          <cell r="D41">
            <v>351.717</v>
          </cell>
        </row>
        <row r="42">
          <cell r="D42">
            <v>351.869</v>
          </cell>
        </row>
        <row r="43">
          <cell r="D43">
            <v>352.02</v>
          </cell>
        </row>
        <row r="44">
          <cell r="D44">
            <v>352.936</v>
          </cell>
        </row>
        <row r="45">
          <cell r="D45">
            <v>353.92</v>
          </cell>
        </row>
        <row r="46">
          <cell r="D46">
            <v>357.404</v>
          </cell>
        </row>
        <row r="47">
          <cell r="D47">
            <v>361.997</v>
          </cell>
        </row>
        <row r="48">
          <cell r="D48">
            <v>365.794</v>
          </cell>
        </row>
        <row r="49">
          <cell r="D49">
            <v>368.334</v>
          </cell>
        </row>
        <row r="50">
          <cell r="D50">
            <v>374.815</v>
          </cell>
        </row>
        <row r="51">
          <cell r="D51">
            <v>378.9</v>
          </cell>
        </row>
        <row r="52">
          <cell r="D52">
            <v>380.906</v>
          </cell>
        </row>
        <row r="53">
          <cell r="D53">
            <v>383.731</v>
          </cell>
        </row>
        <row r="54">
          <cell r="D54">
            <v>386.38</v>
          </cell>
        </row>
        <row r="55">
          <cell r="D55">
            <v>392.592</v>
          </cell>
        </row>
        <row r="56">
          <cell r="D56">
            <v>400.382</v>
          </cell>
        </row>
        <row r="57">
          <cell r="D57">
            <v>407.446</v>
          </cell>
        </row>
        <row r="58">
          <cell r="D58">
            <v>406.127</v>
          </cell>
        </row>
        <row r="59">
          <cell r="D59">
            <v>406.557</v>
          </cell>
        </row>
        <row r="60">
          <cell r="D60">
            <v>410.524</v>
          </cell>
        </row>
        <row r="61">
          <cell r="D61">
            <v>412.104</v>
          </cell>
        </row>
        <row r="62">
          <cell r="D62">
            <v>411.575</v>
          </cell>
        </row>
        <row r="63">
          <cell r="D63">
            <v>409.782</v>
          </cell>
        </row>
        <row r="64">
          <cell r="D64">
            <v>410.849</v>
          </cell>
        </row>
        <row r="65">
          <cell r="D65">
            <v>407.808</v>
          </cell>
        </row>
        <row r="66">
          <cell r="D66">
            <v>407.181</v>
          </cell>
        </row>
        <row r="67">
          <cell r="D67">
            <v>406.885</v>
          </cell>
        </row>
        <row r="68">
          <cell r="D68">
            <v>406.486</v>
          </cell>
        </row>
        <row r="69">
          <cell r="D69">
            <v>404.718</v>
          </cell>
        </row>
        <row r="70">
          <cell r="D70">
            <v>403.253</v>
          </cell>
        </row>
        <row r="71">
          <cell r="D71">
            <v>404.945</v>
          </cell>
        </row>
        <row r="72">
          <cell r="D72">
            <v>405.129</v>
          </cell>
        </row>
        <row r="73">
          <cell r="D73">
            <v>405.548</v>
          </cell>
        </row>
        <row r="74">
          <cell r="D74">
            <v>404.499</v>
          </cell>
        </row>
        <row r="75">
          <cell r="D75">
            <v>407.049</v>
          </cell>
        </row>
        <row r="76">
          <cell r="D76">
            <v>411.843</v>
          </cell>
        </row>
        <row r="79">
          <cell r="D79">
            <v>423.885</v>
          </cell>
        </row>
        <row r="80">
          <cell r="D80">
            <v>427.489</v>
          </cell>
        </row>
        <row r="81">
          <cell r="D81">
            <v>428.15</v>
          </cell>
        </row>
        <row r="82">
          <cell r="D82">
            <v>431.445</v>
          </cell>
        </row>
        <row r="83">
          <cell r="D83">
            <v>436.423</v>
          </cell>
        </row>
        <row r="84">
          <cell r="D84">
            <v>440.829</v>
          </cell>
        </row>
        <row r="85">
          <cell r="D85">
            <v>447.206</v>
          </cell>
        </row>
        <row r="86">
          <cell r="D86">
            <v>450.301</v>
          </cell>
        </row>
        <row r="88">
          <cell r="D88">
            <v>458.397</v>
          </cell>
        </row>
        <row r="89">
          <cell r="D89">
            <v>461.249</v>
          </cell>
        </row>
        <row r="90">
          <cell r="D90">
            <v>463.311</v>
          </cell>
        </row>
        <row r="91">
          <cell r="D91">
            <v>465.311</v>
          </cell>
        </row>
        <row r="92">
          <cell r="D92">
            <v>464.463</v>
          </cell>
        </row>
        <row r="93">
          <cell r="D93">
            <v>463.927</v>
          </cell>
        </row>
        <row r="94">
          <cell r="D94">
            <v>465.968</v>
          </cell>
        </row>
        <row r="95">
          <cell r="D95">
            <v>468.975</v>
          </cell>
        </row>
        <row r="96">
          <cell r="D96">
            <v>471.466</v>
          </cell>
        </row>
        <row r="97">
          <cell r="D97">
            <v>473.808</v>
          </cell>
        </row>
        <row r="98">
          <cell r="D98">
            <v>473.252</v>
          </cell>
        </row>
        <row r="100">
          <cell r="D100">
            <v>474.138</v>
          </cell>
        </row>
        <row r="101">
          <cell r="D101">
            <v>476.166</v>
          </cell>
        </row>
        <row r="102">
          <cell r="D102">
            <v>480.229</v>
          </cell>
        </row>
        <row r="103">
          <cell r="D103">
            <v>485.14</v>
          </cell>
        </row>
        <row r="104">
          <cell r="D104">
            <v>488.342</v>
          </cell>
        </row>
        <row r="105">
          <cell r="D105">
            <v>494.891</v>
          </cell>
        </row>
        <row r="106">
          <cell r="D106">
            <v>501.957</v>
          </cell>
        </row>
        <row r="107">
          <cell r="D107">
            <v>506.804</v>
          </cell>
        </row>
        <row r="108">
          <cell r="D108">
            <v>506.926</v>
          </cell>
        </row>
        <row r="109">
          <cell r="D109">
            <v>506.795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GP-M"/>
    </sheetNames>
    <sheetDataSet>
      <sheetData sheetId="0">
        <row r="110">
          <cell r="D110">
            <v>510.252</v>
          </cell>
        </row>
        <row r="112">
          <cell r="D112">
            <v>513.467</v>
          </cell>
        </row>
        <row r="113">
          <cell r="D113">
            <v>514.526</v>
          </cell>
        </row>
        <row r="114">
          <cell r="D114">
            <v>515.276</v>
          </cell>
        </row>
        <row r="115">
          <cell r="D115">
            <v>515.299</v>
          </cell>
        </row>
        <row r="116">
          <cell r="D116">
            <v>519.153</v>
          </cell>
        </row>
        <row r="117">
          <cell r="D117">
            <v>520.508</v>
          </cell>
        </row>
        <row r="118">
          <cell r="D118">
            <v>521.27</v>
          </cell>
        </row>
        <row r="119">
          <cell r="D119">
            <v>529.085</v>
          </cell>
        </row>
        <row r="120">
          <cell r="D120">
            <v>533.621</v>
          </cell>
        </row>
        <row r="121">
          <cell r="D121">
            <v>535.168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I110"/>
  <sheetViews>
    <sheetView tabSelected="1" zoomScale="80" zoomScaleNormal="80" workbookViewId="0" topLeftCell="B10">
      <selection activeCell="C4" sqref="C4"/>
    </sheetView>
  </sheetViews>
  <sheetFormatPr defaultColWidth="9.140625" defaultRowHeight="12.75"/>
  <cols>
    <col min="1" max="1" width="2.57421875" style="2" hidden="1" customWidth="1"/>
    <col min="2" max="2" width="86.7109375" style="2" customWidth="1"/>
    <col min="3" max="9" width="23.140625" style="2" customWidth="1"/>
    <col min="10" max="10" width="17.8515625" style="2" customWidth="1"/>
    <col min="11" max="11" width="17.421875" style="295" customWidth="1"/>
    <col min="12" max="12" width="17.7109375" style="295" customWidth="1"/>
    <col min="13" max="13" width="9.140625" style="295" customWidth="1"/>
    <col min="14" max="14" width="2.00390625" style="295" customWidth="1"/>
    <col min="15" max="15" width="16.8515625" style="295" bestFit="1" customWidth="1"/>
    <col min="16" max="22" width="9.140625" style="295" customWidth="1"/>
    <col min="23" max="16384" width="9.140625" style="2" customWidth="1"/>
  </cols>
  <sheetData>
    <row r="1" spans="2:26" ht="15.75">
      <c r="B1" s="333"/>
      <c r="C1" s="347" t="s">
        <v>0</v>
      </c>
      <c r="D1" s="347"/>
      <c r="E1" s="347"/>
      <c r="F1" s="347"/>
      <c r="G1" s="347"/>
      <c r="H1" s="347"/>
      <c r="I1" s="347"/>
      <c r="J1" s="347"/>
      <c r="K1" s="299"/>
      <c r="L1" s="299"/>
      <c r="M1" s="299"/>
      <c r="N1" s="299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2:26" ht="16.5" thickBot="1">
      <c r="B2" s="3" t="s">
        <v>1</v>
      </c>
      <c r="C2" s="1"/>
      <c r="D2" s="297"/>
      <c r="E2" s="297"/>
      <c r="F2" s="297"/>
      <c r="G2" s="297"/>
      <c r="H2" s="297"/>
      <c r="I2" s="297"/>
      <c r="J2" s="297"/>
      <c r="K2" s="300"/>
      <c r="L2" s="300"/>
      <c r="M2" s="300"/>
      <c r="N2" s="300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2:26" ht="16.5" thickTop="1">
      <c r="B3" s="342" t="s">
        <v>2</v>
      </c>
      <c r="C3" s="343"/>
      <c r="D3" s="308"/>
      <c r="E3" s="309"/>
      <c r="F3" s="309"/>
      <c r="G3" s="309"/>
      <c r="H3" s="309"/>
      <c r="I3" s="309"/>
      <c r="J3" s="309"/>
      <c r="K3" s="308"/>
      <c r="L3" s="310"/>
      <c r="M3" s="318"/>
      <c r="N3" s="318"/>
      <c r="O3" s="301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2:26" ht="12.75">
      <c r="B4" s="5" t="s">
        <v>7</v>
      </c>
      <c r="C4" s="334"/>
      <c r="D4" s="308" t="s">
        <v>3</v>
      </c>
      <c r="E4" s="308" t="s">
        <v>4</v>
      </c>
      <c r="F4" s="308"/>
      <c r="G4" s="308"/>
      <c r="H4" s="308"/>
      <c r="I4" s="308"/>
      <c r="J4" s="308"/>
      <c r="K4" s="308" t="s">
        <v>13</v>
      </c>
      <c r="L4" s="308"/>
      <c r="M4" s="301"/>
      <c r="N4" s="301"/>
      <c r="O4" s="301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2:26" ht="12.75">
      <c r="B5" s="5" t="s">
        <v>5</v>
      </c>
      <c r="C5" s="335"/>
      <c r="D5" s="308">
        <f>MONTH(C5)</f>
        <v>1</v>
      </c>
      <c r="E5" s="308">
        <f>YEAR(C5)</f>
        <v>1900</v>
      </c>
      <c r="F5" s="308"/>
      <c r="G5" s="308"/>
      <c r="H5" s="308"/>
      <c r="I5" s="308"/>
      <c r="J5" s="308"/>
      <c r="K5" s="308">
        <v>299.097</v>
      </c>
      <c r="L5" s="308"/>
      <c r="M5" s="301"/>
      <c r="N5" s="301"/>
      <c r="O5" s="301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</row>
    <row r="6" spans="2:26" ht="12.75">
      <c r="B6" s="5" t="s">
        <v>6</v>
      </c>
      <c r="C6" s="335"/>
      <c r="D6" s="308">
        <f>MONTH(C6)</f>
        <v>1</v>
      </c>
      <c r="E6" s="308">
        <f>YEAR(C6)</f>
        <v>1900</v>
      </c>
      <c r="F6" s="308"/>
      <c r="G6" s="308"/>
      <c r="H6" s="308"/>
      <c r="I6" s="308"/>
      <c r="J6" s="308"/>
      <c r="K6" s="308"/>
      <c r="L6" s="308"/>
      <c r="M6" s="301"/>
      <c r="N6" s="301"/>
      <c r="O6" s="301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2:26" ht="12.75">
      <c r="B7" s="5" t="s">
        <v>8</v>
      </c>
      <c r="C7" s="336"/>
      <c r="D7" s="308"/>
      <c r="E7" s="308"/>
      <c r="F7" s="308"/>
      <c r="G7" s="308"/>
      <c r="H7" s="308"/>
      <c r="I7" s="308"/>
      <c r="J7" s="308"/>
      <c r="K7" s="308"/>
      <c r="L7" s="308"/>
      <c r="M7" s="301"/>
      <c r="N7" s="301"/>
      <c r="O7" s="301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</row>
    <row r="8" spans="2:26" ht="12.75">
      <c r="B8" s="5" t="str">
        <f>IF(C4&lt;&gt;0,CONCATENATE("Energia Contratada no ano ",C4," (MWh):"),"Entrar ano de cálculo")</f>
        <v>Entrar ano de cálculo</v>
      </c>
      <c r="C8" s="337"/>
      <c r="D8" s="311">
        <f>DATE(E5,D5,1)-1</f>
        <v>0</v>
      </c>
      <c r="E8" s="308"/>
      <c r="F8" s="308"/>
      <c r="G8" s="312">
        <f>J8-C6+1</f>
        <v>367</v>
      </c>
      <c r="H8" s="312"/>
      <c r="I8" s="312"/>
      <c r="J8" s="311">
        <f>DATE(YEAR(C6)+1,1,1)-1</f>
        <v>366</v>
      </c>
      <c r="K8" s="308"/>
      <c r="L8" s="308"/>
      <c r="M8" s="301"/>
      <c r="N8" s="301"/>
      <c r="O8" s="301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</row>
    <row r="9" spans="2:26" ht="12.75">
      <c r="B9" s="236" t="str">
        <f>CONCATENATE("Preço unitário da energia contratada para o valor de ",C4)</f>
        <v>Preço unitário da energia contratada para o valor de </v>
      </c>
      <c r="C9" s="338"/>
      <c r="D9" s="308">
        <f>MONTH(D8)</f>
        <v>1</v>
      </c>
      <c r="E9" s="308">
        <f>YEAR(D8)</f>
        <v>1900</v>
      </c>
      <c r="F9" s="308"/>
      <c r="G9" s="308">
        <f>IF(C4-YEAR(C6)=1,G8,D16)</f>
        <v>365</v>
      </c>
      <c r="H9" s="308"/>
      <c r="I9" s="308"/>
      <c r="J9" s="312">
        <f>12-MONTH(C6)</f>
        <v>11</v>
      </c>
      <c r="K9" s="308"/>
      <c r="L9" s="308"/>
      <c r="M9" s="301"/>
      <c r="N9" s="301"/>
      <c r="O9" s="301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</row>
    <row r="10" spans="2:26" ht="12.75">
      <c r="B10" s="5" t="str">
        <f>IF(C4&lt;&gt;0,CONCATENATE("Energia Contratada no ano ",C4-1," (MWh):"),"Entrar ano de cálculo")</f>
        <v>Entrar ano de cálculo</v>
      </c>
      <c r="C10" s="337"/>
      <c r="D10" s="308">
        <f>D9</f>
        <v>1</v>
      </c>
      <c r="E10" s="312">
        <f>C4-1</f>
        <v>-1</v>
      </c>
      <c r="F10" s="308"/>
      <c r="G10" s="312"/>
      <c r="H10" s="312"/>
      <c r="I10" s="312"/>
      <c r="J10" s="312">
        <f>DAY(DATE(YEAR(C6),MONTH(C6)+1,1)-1)</f>
        <v>31</v>
      </c>
      <c r="K10" s="308"/>
      <c r="L10" s="308"/>
      <c r="M10" s="301"/>
      <c r="N10" s="301"/>
      <c r="O10" s="301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spans="2:26" ht="12.75">
      <c r="B11" s="236" t="str">
        <f>CONCATENATE("Preço unitário da energia contratada para o valor de ",C4-1)</f>
        <v>Preço unitário da energia contratada para o valor de -1</v>
      </c>
      <c r="C11" s="338"/>
      <c r="D11" s="308">
        <f>D10</f>
        <v>1</v>
      </c>
      <c r="E11" s="312">
        <f>C4</f>
        <v>0</v>
      </c>
      <c r="F11" s="308"/>
      <c r="G11" s="312"/>
      <c r="H11" s="312"/>
      <c r="I11" s="312"/>
      <c r="J11" s="312">
        <f>J10-DAY(C6)+1</f>
        <v>32</v>
      </c>
      <c r="K11" s="308"/>
      <c r="L11" s="308"/>
      <c r="M11" s="301"/>
      <c r="N11" s="301"/>
      <c r="O11" s="301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</row>
    <row r="12" spans="2:26" ht="12.75">
      <c r="B12" s="5" t="str">
        <f>IF(C4&lt;&gt;0,CONCATENATE("Energia Gerada no CG (CCEE) no ano ",C4-1," (MWh):"),"Entrar ano de cálculo")</f>
        <v>Entrar ano de cálculo</v>
      </c>
      <c r="C12" s="337"/>
      <c r="D12" s="308"/>
      <c r="E12" s="312"/>
      <c r="F12" s="308"/>
      <c r="G12" s="308"/>
      <c r="H12" s="308"/>
      <c r="I12" s="308"/>
      <c r="J12" s="308">
        <f>(J11/J10)+J9</f>
        <v>12.032258064516128</v>
      </c>
      <c r="K12" s="308"/>
      <c r="L12" s="308"/>
      <c r="M12" s="301"/>
      <c r="N12" s="301"/>
      <c r="O12" s="301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2:26" ht="12.75">
      <c r="B13" s="5" t="str">
        <f>IF(C4&lt;&gt;0,CONCATENATE("Energia Gerada no ano ",C4-1," (MWh):"),"Entrar ano de cálculo")</f>
        <v>Entrar ano de cálculo</v>
      </c>
      <c r="C13" s="337"/>
      <c r="D13" s="308"/>
      <c r="E13" s="308"/>
      <c r="F13" s="308"/>
      <c r="G13" s="308"/>
      <c r="H13" s="308"/>
      <c r="I13" s="308"/>
      <c r="J13" s="308"/>
      <c r="K13" s="308"/>
      <c r="L13" s="308"/>
      <c r="M13" s="301"/>
      <c r="N13" s="301"/>
      <c r="O13" s="301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2:26" ht="12.75">
      <c r="B14" s="5" t="str">
        <f>CONCATENATE("Saldo de Garantia Contratual de ",C4-1)</f>
        <v>Saldo de Garantia Contratual de -1</v>
      </c>
      <c r="C14" s="338"/>
      <c r="D14" s="308"/>
      <c r="E14" s="312"/>
      <c r="F14" s="308"/>
      <c r="G14" s="308"/>
      <c r="H14" s="308"/>
      <c r="I14" s="308"/>
      <c r="J14" s="308"/>
      <c r="K14" s="308"/>
      <c r="L14" s="308"/>
      <c r="M14" s="301"/>
      <c r="N14" s="301"/>
      <c r="O14" s="301"/>
      <c r="P14" s="301"/>
      <c r="Q14" s="301"/>
      <c r="R14" s="301"/>
      <c r="S14" s="301"/>
      <c r="T14" s="301"/>
      <c r="U14" s="301"/>
      <c r="V14" s="293"/>
      <c r="W14" s="293"/>
      <c r="X14" s="293"/>
      <c r="Y14" s="293"/>
      <c r="Z14" s="293"/>
    </row>
    <row r="15" spans="2:26" ht="12.75">
      <c r="B15" s="5" t="str">
        <f>IF(C4&lt;&gt;0,(CONCATENATE("Ajuste de recontabilização até ",C4-2," divulgados até dez. ",C4-1,"(R$) + Consumo")),"Entrar ano de cálculo")</f>
        <v>Entrar ano de cálculo</v>
      </c>
      <c r="C15" s="338"/>
      <c r="D15" s="308" t="s">
        <v>102</v>
      </c>
      <c r="E15" s="308" t="s">
        <v>103</v>
      </c>
      <c r="F15" s="308" t="s">
        <v>104</v>
      </c>
      <c r="G15" s="313"/>
      <c r="H15" s="313"/>
      <c r="I15" s="313"/>
      <c r="J15" s="308"/>
      <c r="K15" s="308"/>
      <c r="L15" s="308"/>
      <c r="M15" s="301"/>
      <c r="N15" s="301"/>
      <c r="O15" s="301"/>
      <c r="P15" s="301"/>
      <c r="Q15" s="301"/>
      <c r="R15" s="301"/>
      <c r="S15" s="301"/>
      <c r="T15" s="301"/>
      <c r="U15" s="301"/>
      <c r="V15" s="293"/>
      <c r="W15" s="293"/>
      <c r="X15" s="293"/>
      <c r="Y15" s="293"/>
      <c r="Z15" s="293"/>
    </row>
    <row r="16" spans="2:26" ht="12.75">
      <c r="B16" s="5" t="s">
        <v>107</v>
      </c>
      <c r="C16" s="339"/>
      <c r="D16" s="308">
        <f>IF(OR($C$4=2009,$C$4=2013,$C$4=2017,$C$4=2021,$C$4=2025,$C$4=2029),366,365)</f>
        <v>365</v>
      </c>
      <c r="E16" s="308">
        <f>IF($C$4-YEAR($C$6)&gt;1,0,1)</f>
        <v>1</v>
      </c>
      <c r="F16" s="308">
        <f>IF($C$4-YEAR($C$6)&gt;1,1,0)</f>
        <v>0</v>
      </c>
      <c r="G16" s="313"/>
      <c r="H16" s="313"/>
      <c r="I16" s="313"/>
      <c r="J16" s="308"/>
      <c r="K16" s="308"/>
      <c r="L16" s="308"/>
      <c r="M16" s="301"/>
      <c r="N16" s="301"/>
      <c r="O16" s="301"/>
      <c r="P16" s="301"/>
      <c r="Q16" s="301"/>
      <c r="R16" s="301"/>
      <c r="S16" s="301"/>
      <c r="T16" s="301"/>
      <c r="U16" s="301"/>
      <c r="V16" s="293"/>
      <c r="W16" s="293"/>
      <c r="X16" s="293"/>
      <c r="Y16" s="293"/>
      <c r="Z16" s="293"/>
    </row>
    <row r="17" spans="2:26" ht="12.75">
      <c r="B17" s="289" t="s">
        <v>125</v>
      </c>
      <c r="C17" s="340"/>
      <c r="D17" s="325"/>
      <c r="E17" s="308"/>
      <c r="F17" s="308"/>
      <c r="G17" s="313"/>
      <c r="H17" s="313"/>
      <c r="I17" s="313"/>
      <c r="J17" s="308"/>
      <c r="K17" s="308"/>
      <c r="L17" s="308"/>
      <c r="M17" s="301"/>
      <c r="N17" s="301"/>
      <c r="O17" s="301"/>
      <c r="P17" s="301"/>
      <c r="Q17" s="301"/>
      <c r="R17" s="301"/>
      <c r="S17" s="301"/>
      <c r="T17" s="301"/>
      <c r="U17" s="301"/>
      <c r="V17" s="293"/>
      <c r="W17" s="293"/>
      <c r="X17" s="293"/>
      <c r="Y17" s="293"/>
      <c r="Z17" s="293"/>
    </row>
    <row r="18" spans="2:26" ht="12.75">
      <c r="B18" s="294" t="s">
        <v>142</v>
      </c>
      <c r="C18" s="338"/>
      <c r="D18" s="326"/>
      <c r="E18" s="308"/>
      <c r="F18" s="308"/>
      <c r="G18" s="313"/>
      <c r="H18" s="313"/>
      <c r="I18" s="313"/>
      <c r="J18" s="308"/>
      <c r="K18" s="308"/>
      <c r="L18" s="308"/>
      <c r="M18" s="301"/>
      <c r="N18" s="301"/>
      <c r="O18" s="301"/>
      <c r="P18" s="301"/>
      <c r="Q18" s="301"/>
      <c r="R18" s="301"/>
      <c r="S18" s="301"/>
      <c r="T18" s="301"/>
      <c r="U18" s="301"/>
      <c r="V18" s="293"/>
      <c r="W18" s="293"/>
      <c r="X18" s="293"/>
      <c r="Y18" s="293"/>
      <c r="Z18" s="293"/>
    </row>
    <row r="19" spans="2:26" ht="12.75">
      <c r="B19" s="294" t="s">
        <v>140</v>
      </c>
      <c r="C19" s="335"/>
      <c r="D19" s="326">
        <f>YEAR(C19)</f>
        <v>1900</v>
      </c>
      <c r="E19" s="308">
        <f>MONTH(C19)</f>
        <v>1</v>
      </c>
      <c r="F19" s="308"/>
      <c r="G19" s="313"/>
      <c r="H19" s="313"/>
      <c r="I19" s="313"/>
      <c r="J19" s="308"/>
      <c r="K19" s="308"/>
      <c r="L19" s="308"/>
      <c r="M19" s="301"/>
      <c r="N19" s="301"/>
      <c r="O19" s="301"/>
      <c r="P19" s="301"/>
      <c r="Q19" s="301"/>
      <c r="R19" s="301"/>
      <c r="S19" s="301"/>
      <c r="T19" s="301"/>
      <c r="U19" s="301"/>
      <c r="V19" s="293"/>
      <c r="W19" s="293"/>
      <c r="X19" s="293"/>
      <c r="Y19" s="293"/>
      <c r="Z19" s="293"/>
    </row>
    <row r="20" spans="2:26" ht="13.5" thickBot="1">
      <c r="B20" s="290" t="str">
        <f>IF(C4&lt;&gt;"",(CONCATENATE("Valor pago em janeiro e fevereiro de ",C4," (R$):")),"Preencher Ano de Faturamento")</f>
        <v>Preencher Ano de Faturamento</v>
      </c>
      <c r="C20" s="341"/>
      <c r="D20" s="326"/>
      <c r="E20" s="308"/>
      <c r="F20" s="308"/>
      <c r="G20" s="313"/>
      <c r="H20" s="313"/>
      <c r="I20" s="313"/>
      <c r="J20" s="308"/>
      <c r="K20" s="308"/>
      <c r="L20" s="308"/>
      <c r="M20" s="301"/>
      <c r="N20" s="301"/>
      <c r="O20" s="301"/>
      <c r="P20" s="301"/>
      <c r="Q20" s="301"/>
      <c r="R20" s="301"/>
      <c r="S20" s="301"/>
      <c r="T20" s="301"/>
      <c r="U20" s="301"/>
      <c r="V20" s="293"/>
      <c r="W20" s="293"/>
      <c r="X20" s="293"/>
      <c r="Y20" s="293"/>
      <c r="Z20" s="293"/>
    </row>
    <row r="21" spans="2:26" ht="13.5" thickTop="1">
      <c r="B21" s="2" t="s">
        <v>9</v>
      </c>
      <c r="C21" s="7">
        <f>SUMPRODUCT(('IGP-M'!$A$4:$A$302=D9)*('IGP-M'!$B$4:$B$302=E9)*('IGP-M'!$D$4:$D$302))</f>
        <v>0</v>
      </c>
      <c r="D21" s="308" t="s">
        <v>108</v>
      </c>
      <c r="E21" s="308"/>
      <c r="F21" s="308"/>
      <c r="G21" s="308"/>
      <c r="H21" s="308"/>
      <c r="I21" s="308"/>
      <c r="J21" s="308"/>
      <c r="K21" s="308"/>
      <c r="L21" s="308"/>
      <c r="M21" s="301"/>
      <c r="N21" s="301"/>
      <c r="O21" s="301"/>
      <c r="P21" s="301"/>
      <c r="Q21" s="301"/>
      <c r="R21" s="301"/>
      <c r="S21" s="301"/>
      <c r="T21" s="301"/>
      <c r="U21" s="301"/>
      <c r="V21" s="293"/>
      <c r="W21" s="293"/>
      <c r="X21" s="293"/>
      <c r="Y21" s="293"/>
      <c r="Z21" s="293"/>
    </row>
    <row r="22" spans="2:35" ht="12.75">
      <c r="B22" s="2" t="s">
        <v>10</v>
      </c>
      <c r="C22" s="7">
        <f>SUMPRODUCT(('IGP-M'!$A$4:$A$302=D10)*('IGP-M'!$B$4:$B$302=E10)*('IGP-M'!$D$4:$D$302))</f>
        <v>0</v>
      </c>
      <c r="D22" s="308" t="s">
        <v>109</v>
      </c>
      <c r="E22" s="308"/>
      <c r="F22" s="308"/>
      <c r="G22" s="308"/>
      <c r="H22" s="308"/>
      <c r="I22" s="308"/>
      <c r="J22" s="308"/>
      <c r="K22" s="308"/>
      <c r="L22" s="308"/>
      <c r="M22" s="301"/>
      <c r="N22" s="301"/>
      <c r="O22" s="301"/>
      <c r="P22" s="301"/>
      <c r="Q22" s="301"/>
      <c r="R22" s="301"/>
      <c r="S22" s="301"/>
      <c r="T22" s="301"/>
      <c r="U22" s="301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</row>
    <row r="23" spans="2:35" ht="12.75">
      <c r="B23" s="2" t="s">
        <v>11</v>
      </c>
      <c r="C23" s="7">
        <f>SUMPRODUCT(('IGP-M'!$A$4:$A$302=D11)*('IGP-M'!$B$4:$B$302=E11)*('IGP-M'!$D$4:$D$302))</f>
        <v>0</v>
      </c>
      <c r="D23" s="308">
        <f>IF(C16="SIM",1,0)</f>
        <v>0</v>
      </c>
      <c r="E23" s="308"/>
      <c r="F23" s="308"/>
      <c r="G23" s="308"/>
      <c r="H23" s="308"/>
      <c r="I23" s="308"/>
      <c r="J23" s="308"/>
      <c r="K23" s="308"/>
      <c r="L23" s="308"/>
      <c r="M23" s="301"/>
      <c r="N23" s="301"/>
      <c r="O23" s="301"/>
      <c r="P23" s="301"/>
      <c r="Q23" s="301"/>
      <c r="R23" s="301"/>
      <c r="S23" s="301"/>
      <c r="T23" s="301"/>
      <c r="U23" s="301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</row>
    <row r="24" spans="2:35" ht="12.75">
      <c r="B24" s="2" t="str">
        <f>CONCATENATE("Preço unitário reajustado para o ano anterior para EC ",C4-1)</f>
        <v>Preço unitário reajustado para o ano anterior para EC -1</v>
      </c>
      <c r="C24" s="6">
        <f>IF(OR($C$5=0,$C$6=0,$C$11=0),0,ROUND(C11*(C22/C21),2))</f>
        <v>0</v>
      </c>
      <c r="D24" s="344" t="str">
        <f>CONCATENATE(B14," (reajustado)")</f>
        <v>Saldo de Garantia Contratual de -1 (reajustado)</v>
      </c>
      <c r="E24" s="344"/>
      <c r="F24" s="344"/>
      <c r="G24" s="6">
        <f>IF($C$23=0,0,ROUND(C14*(C23/C22),2))</f>
        <v>0</v>
      </c>
      <c r="H24" s="302"/>
      <c r="I24" s="302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</row>
    <row r="25" spans="2:35" ht="12.75">
      <c r="B25" s="2" t="str">
        <f>CONCATENATE("Preço unitário reajustado para o ano corrente para EC ",C4-1)</f>
        <v>Preço unitário reajustado para o ano corrente para EC -1</v>
      </c>
      <c r="C25" s="6">
        <f>IF(OR($C$5=0,$C$6=0,$C$11=0),0,ROUND(C11*(C23/C21),2))</f>
        <v>0</v>
      </c>
      <c r="D25" s="346" t="str">
        <f>CONCATENATE("Preço unitário reajustado para o ano anterior para EC ",C4)</f>
        <v>Preço unitário reajustado para o ano anterior para EC </v>
      </c>
      <c r="E25" s="346"/>
      <c r="F25" s="346"/>
      <c r="G25" s="6">
        <f>IF(OR($C$5=0,$C$6=0,$C$11=0),0,ROUND(C9*(C22/C21),2))</f>
        <v>0</v>
      </c>
      <c r="H25" s="302"/>
      <c r="I25" s="302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</row>
    <row r="26" spans="2:35" ht="12.75">
      <c r="B26" s="306" t="s">
        <v>145</v>
      </c>
      <c r="C26" s="6">
        <f>180.18*C21/K5</f>
        <v>0</v>
      </c>
      <c r="D26" s="346" t="str">
        <f>CONCATENATE("Preço unitário reajustado para o ano corrente para EC ",C4)</f>
        <v>Preço unitário reajustado para o ano corrente para EC </v>
      </c>
      <c r="E26" s="346"/>
      <c r="F26" s="346"/>
      <c r="G26" s="6">
        <f>IF(OR($C$5=0,$C$6=0,$C$11=0),0,ROUND(C9*(C23/C21),2))</f>
        <v>0</v>
      </c>
      <c r="H26" s="302"/>
      <c r="I26" s="302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</row>
    <row r="27" spans="2:35" ht="12.75">
      <c r="B27" s="306" t="s">
        <v>146</v>
      </c>
      <c r="C27" s="6">
        <f>204.35*C21/K5</f>
        <v>0</v>
      </c>
      <c r="D27" s="346" t="s">
        <v>12</v>
      </c>
      <c r="E27" s="346"/>
      <c r="F27" s="346"/>
      <c r="G27" s="8" t="e">
        <f>ROUND(IF(OR($C$4=0,$C$6=0,$C$7=0)," ",C13/(C7*24*G9)),6)</f>
        <v>#VALUE!</v>
      </c>
      <c r="H27" s="303"/>
      <c r="I27" s="303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</row>
    <row r="28" spans="2:35" ht="12.75">
      <c r="B28" s="306" t="s">
        <v>147</v>
      </c>
      <c r="C28" s="6">
        <f>IF($C$7=0,0,ROUND(IF(G$27&lt;0.324041,C27,IF(G$27&gt;0.419347,C26,C27-(((C27-C26)/(0.419347-0.324041))*(G$27-0.324041)))),2))</f>
        <v>0</v>
      </c>
      <c r="D28" s="346" t="s">
        <v>122</v>
      </c>
      <c r="E28" s="346"/>
      <c r="F28" s="346"/>
      <c r="G28" s="6">
        <f>IF($C$23=0,0,ROUND(C15*(C23/C22),2))</f>
        <v>0</v>
      </c>
      <c r="H28" s="302"/>
      <c r="I28" s="302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</row>
    <row r="29" spans="2:35" ht="12.75">
      <c r="B29" s="2" t="s">
        <v>14</v>
      </c>
      <c r="C29" s="6" t="e">
        <f>ROUND(C28*C22/C21,2)</f>
        <v>#DIV/0!</v>
      </c>
      <c r="D29" s="346" t="str">
        <f>IF(G29=C8," ","Energia do ano anterior pró-rata (MWh):")</f>
        <v> </v>
      </c>
      <c r="E29" s="346"/>
      <c r="F29" s="346"/>
      <c r="G29" s="233">
        <f>ROUND(IF((C4-YEAR(C6))&gt;1,C10,(C10/12)*J12),3)</f>
        <v>0</v>
      </c>
      <c r="H29" s="304"/>
      <c r="I29" s="304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</row>
    <row r="30" spans="2:35" ht="12.75">
      <c r="B30" s="2" t="s">
        <v>110</v>
      </c>
      <c r="C30" s="6" t="e">
        <f>ROUND(C28*C23/C21,2)</f>
        <v>#DIV/0!</v>
      </c>
      <c r="D30" s="346" t="s">
        <v>105</v>
      </c>
      <c r="E30" s="346"/>
      <c r="F30" s="346"/>
      <c r="G30" s="234" t="e">
        <f>ROUND(IF($C$4="",CONCATENATE("Preencher EC ",C7,),(ROUND(ROUND(($C$8/12),3)*$G$25,2)*I30)),2)</f>
        <v>#VALUE!</v>
      </c>
      <c r="H30" s="305"/>
      <c r="I30" s="314">
        <f>C17</f>
        <v>0</v>
      </c>
      <c r="J30" s="315">
        <f>C17</f>
        <v>0</v>
      </c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</row>
    <row r="31" spans="3:35" ht="12.75">
      <c r="C31" s="6"/>
      <c r="D31" s="346" t="s">
        <v>106</v>
      </c>
      <c r="E31" s="346"/>
      <c r="F31" s="346"/>
      <c r="G31" s="234" t="e">
        <f>ROUND(IF($C$4="",CONCATENATE("Preencher EC ",C7,),(ROUND(ROUND(($C$8/12),3)*$G$26,2)*I30)),2)</f>
        <v>#VALUE!</v>
      </c>
      <c r="H31" s="305"/>
      <c r="I31" s="305"/>
      <c r="J31" s="301"/>
      <c r="K31" s="316"/>
      <c r="L31" s="316"/>
      <c r="M31" s="316"/>
      <c r="N31" s="316"/>
      <c r="O31" s="316"/>
      <c r="P31" s="316"/>
      <c r="Q31" s="316"/>
      <c r="R31" s="301"/>
      <c r="S31" s="301"/>
      <c r="T31" s="301"/>
      <c r="U31" s="301"/>
      <c r="V31" s="301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</row>
    <row r="32" spans="3:35" ht="12.75">
      <c r="C32" s="6"/>
      <c r="D32" s="345" t="s">
        <v>143</v>
      </c>
      <c r="E32" s="346"/>
      <c r="F32" s="346"/>
      <c r="G32" s="234">
        <f>IF(C18=0,0,ROUND(IF($C$4="",CONCATENATE("Preencher EC ",C7,),(ROUND(ROUND(($C$8/12),3)*($G$25-$C$18),2)*I30)),2))</f>
        <v>0</v>
      </c>
      <c r="H32" s="305"/>
      <c r="I32" s="305"/>
      <c r="J32" s="301"/>
      <c r="K32" s="306"/>
      <c r="L32" s="306"/>
      <c r="M32" s="306"/>
      <c r="N32" s="306"/>
      <c r="O32" s="306"/>
      <c r="P32" s="306"/>
      <c r="Q32" s="306"/>
      <c r="R32" s="306"/>
      <c r="S32" s="301"/>
      <c r="T32" s="301"/>
      <c r="U32" s="301"/>
      <c r="V32" s="301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</row>
    <row r="33" spans="2:35" ht="13.5" thickBot="1">
      <c r="B33" s="306"/>
      <c r="C33" s="6"/>
      <c r="D33" s="345" t="s">
        <v>144</v>
      </c>
      <c r="E33" s="346"/>
      <c r="F33" s="346"/>
      <c r="G33" s="234">
        <f>IF(OR(G26=0,C18=0),0,ROUND(IF($C$4="",CONCATENATE("Preencher EC ",C7,),(ROUND(ROUND(($C$8/12),3)*($G$26-C18),2)*I30)),2))</f>
        <v>0</v>
      </c>
      <c r="H33" s="305"/>
      <c r="I33" s="305"/>
      <c r="J33" s="301"/>
      <c r="K33" s="306"/>
      <c r="L33" s="306"/>
      <c r="M33" s="306"/>
      <c r="N33" s="306"/>
      <c r="O33" s="306"/>
      <c r="P33" s="306"/>
      <c r="Q33" s="306"/>
      <c r="R33" s="306"/>
      <c r="S33" s="301"/>
      <c r="T33" s="301"/>
      <c r="U33" s="301"/>
      <c r="V33" s="301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</row>
    <row r="34" spans="2:35" ht="39" thickTop="1">
      <c r="B34" s="257" t="s">
        <v>3</v>
      </c>
      <c r="C34" s="258" t="s">
        <v>15</v>
      </c>
      <c r="D34" s="258" t="str">
        <f>CONCATENATE("Ajuste ",C4-1)</f>
        <v>Ajuste -1</v>
      </c>
      <c r="E34" s="259" t="s">
        <v>121</v>
      </c>
      <c r="F34" s="259" t="s">
        <v>126</v>
      </c>
      <c r="G34" s="288" t="s">
        <v>138</v>
      </c>
      <c r="H34" s="298" t="s">
        <v>139</v>
      </c>
      <c r="I34" s="288" t="s">
        <v>148</v>
      </c>
      <c r="J34" s="260" t="s">
        <v>16</v>
      </c>
      <c r="K34" s="316"/>
      <c r="L34" s="316"/>
      <c r="M34" s="316"/>
      <c r="N34" s="316"/>
      <c r="O34" s="316" t="s">
        <v>111</v>
      </c>
      <c r="P34" s="327" t="s">
        <v>139</v>
      </c>
      <c r="Q34" s="316"/>
      <c r="R34" s="306"/>
      <c r="S34" s="301"/>
      <c r="T34" s="301"/>
      <c r="U34" s="301"/>
      <c r="V34" s="301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</row>
    <row r="35" spans="1:35" ht="12.75">
      <c r="A35" s="4">
        <v>1</v>
      </c>
      <c r="B35" s="9" t="s">
        <v>17</v>
      </c>
      <c r="C35" s="307">
        <f aca="true" t="shared" si="0" ref="C35:C46">ROUND(IF(M35&lt;D$5,((ROUND((C$8/12),3)*G$25)),((ROUND((C$8/12),3)*G$26))),2)</f>
        <v>0</v>
      </c>
      <c r="D35" s="307">
        <f>ROUND(IF($C$7=0,0,IF(M35&lt;$D$5,(((ROUND(($C$12),3)/12)*$C$29)-((ROUND(($G$29),3)/12)*$C$24)),(((ROUND(($C$12),3)/12)*$C$30)-((ROUND(($G$29),3)/12)*$C$25)))),2)</f>
        <v>0</v>
      </c>
      <c r="E35" s="320">
        <f aca="true" t="shared" si="1" ref="E35:E46">ROUND(IF(M35&lt;$D$5,$C$15/12,$G$28/12),2)</f>
        <v>0</v>
      </c>
      <c r="F35" s="320">
        <f aca="true" t="shared" si="2" ref="F35:F46">ROUND(IF(M35&lt;$D$5,$C$14/12,$G$24/12),2)</f>
        <v>0</v>
      </c>
      <c r="G35" s="321">
        <f>IF(K35=0,0,IF(L35&gt;K35,L35-K35,0))</f>
        <v>0</v>
      </c>
      <c r="H35" s="322">
        <f>IF(C35=0,0,P35)</f>
        <v>0</v>
      </c>
      <c r="I35" s="321"/>
      <c r="J35" s="323">
        <f>SUM(C35:I35)</f>
        <v>0</v>
      </c>
      <c r="K35" s="328">
        <f>C35+D35+E35+F35+H35+I35</f>
        <v>0</v>
      </c>
      <c r="L35" s="328" t="e">
        <f>IF(P35=0,IF(M35&lt;$D$5,(($G$30*$D$23)),(($G$31*$D$23))),IF(M35&lt;$D$5,(($G$32*$D$23)),(($G$33*$D$23))))</f>
        <v>#VALUE!</v>
      </c>
      <c r="M35" s="316">
        <v>1</v>
      </c>
      <c r="N35" s="316"/>
      <c r="O35" s="328">
        <f aca="true" t="shared" si="3" ref="O35:O46">C35+D35</f>
        <v>0</v>
      </c>
      <c r="P35" s="316">
        <f>IF(($D$19&lt;$C$4),ROUND(-$C$18*ROUND(($C$8/12),3),2),IF(AND(($D$19=$C$4),($E$19&lt;=M35)),ROUND(-$C$18*ROUND(($C$8/12),3),2),0))</f>
        <v>0</v>
      </c>
      <c r="Q35" s="316"/>
      <c r="R35" s="306"/>
      <c r="S35" s="301"/>
      <c r="T35" s="301"/>
      <c r="U35" s="301"/>
      <c r="V35" s="301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</row>
    <row r="36" spans="1:35" ht="12.75">
      <c r="A36" s="4">
        <v>2</v>
      </c>
      <c r="B36" s="9" t="s">
        <v>18</v>
      </c>
      <c r="C36" s="10">
        <f t="shared" si="0"/>
        <v>0</v>
      </c>
      <c r="D36" s="307">
        <f aca="true" t="shared" si="4" ref="D36:D46">ROUND(IF($C$7=0,0,IF(M36&lt;$D$5,(((ROUND(($C$12),3)/12)*$C$29)-((ROUND(($G$29),3)/12)*$C$24)),(((ROUND(($C$12),3)/12)*$C$30)-((ROUND(($G$29),3)/12)*$C$25)))),2)</f>
        <v>0</v>
      </c>
      <c r="E36" s="235">
        <f t="shared" si="1"/>
        <v>0</v>
      </c>
      <c r="F36" s="235">
        <f t="shared" si="2"/>
        <v>0</v>
      </c>
      <c r="G36" s="11">
        <f>IF(K36=0,0,IF(L36&gt;K36,L36-K36,0))</f>
        <v>0</v>
      </c>
      <c r="H36" s="11">
        <f aca="true" t="shared" si="5" ref="H36:H46">IF(C36=0,0,P36)</f>
        <v>0</v>
      </c>
      <c r="I36" s="11"/>
      <c r="J36" s="323">
        <f aca="true" t="shared" si="6" ref="J36:J46">SUM(C36:I36)</f>
        <v>0</v>
      </c>
      <c r="K36" s="328">
        <f aca="true" t="shared" si="7" ref="K36:K46">C36+D36+E36+F36+H36+I36</f>
        <v>0</v>
      </c>
      <c r="L36" s="328" t="e">
        <f aca="true" t="shared" si="8" ref="L36:L46">IF(P36=0,IF(M36&lt;$D$5,(($G$30*$D$23)),(($G$31*$D$23))),IF(M36&lt;$D$5,(($G$32*$D$23)),(($G$33*$D$23))))</f>
        <v>#VALUE!</v>
      </c>
      <c r="M36" s="316">
        <v>2</v>
      </c>
      <c r="N36" s="316"/>
      <c r="O36" s="328">
        <f t="shared" si="3"/>
        <v>0</v>
      </c>
      <c r="P36" s="316">
        <f aca="true" t="shared" si="9" ref="P36:P46">IF(($D$19&lt;$C$4),ROUND(-$C$18*ROUND(($C$8/12),3),2),IF(AND(($D$19=$C$4),($E$19&lt;=M36)),ROUND(-$C$18*ROUND(($C$8/12),3),2),0))</f>
        <v>0</v>
      </c>
      <c r="Q36" s="316"/>
      <c r="R36" s="306"/>
      <c r="S36" s="301"/>
      <c r="T36" s="301"/>
      <c r="U36" s="301"/>
      <c r="V36" s="301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</row>
    <row r="37" spans="1:35" ht="12.75">
      <c r="A37" s="4">
        <v>3</v>
      </c>
      <c r="B37" s="9" t="s">
        <v>19</v>
      </c>
      <c r="C37" s="10">
        <f t="shared" si="0"/>
        <v>0</v>
      </c>
      <c r="D37" s="307">
        <f t="shared" si="4"/>
        <v>0</v>
      </c>
      <c r="E37" s="235">
        <f t="shared" si="1"/>
        <v>0</v>
      </c>
      <c r="F37" s="235">
        <f t="shared" si="2"/>
        <v>0</v>
      </c>
      <c r="G37" s="11">
        <f>IF($G$36=0,0,IF(L37&gt;(K37-I37),L37-(K37-I37)*$D$23,0))</f>
        <v>0</v>
      </c>
      <c r="H37" s="11">
        <f t="shared" si="5"/>
        <v>0</v>
      </c>
      <c r="I37" s="11">
        <f>(J35+J36)-C20</f>
        <v>0</v>
      </c>
      <c r="J37" s="323">
        <f t="shared" si="6"/>
        <v>0</v>
      </c>
      <c r="K37" s="328">
        <f t="shared" si="7"/>
        <v>0</v>
      </c>
      <c r="L37" s="328" t="e">
        <f t="shared" si="8"/>
        <v>#VALUE!</v>
      </c>
      <c r="M37" s="316">
        <v>3</v>
      </c>
      <c r="N37" s="316"/>
      <c r="O37" s="328">
        <f t="shared" si="3"/>
        <v>0</v>
      </c>
      <c r="P37" s="316">
        <f t="shared" si="9"/>
        <v>0</v>
      </c>
      <c r="Q37" s="316"/>
      <c r="R37" s="306"/>
      <c r="S37" s="301"/>
      <c r="T37" s="301"/>
      <c r="U37" s="301"/>
      <c r="V37" s="301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</row>
    <row r="38" spans="1:35" ht="12.75">
      <c r="A38" s="4">
        <v>4</v>
      </c>
      <c r="B38" s="9" t="s">
        <v>20</v>
      </c>
      <c r="C38" s="10">
        <f t="shared" si="0"/>
        <v>0</v>
      </c>
      <c r="D38" s="307">
        <f t="shared" si="4"/>
        <v>0</v>
      </c>
      <c r="E38" s="235">
        <f t="shared" si="1"/>
        <v>0</v>
      </c>
      <c r="F38" s="235">
        <f t="shared" si="2"/>
        <v>0</v>
      </c>
      <c r="G38" s="11">
        <f>IF($G$36=0,0,IF(L38&gt;(K38-I38),L38-(K38-I38)*$D$23,0))</f>
        <v>0</v>
      </c>
      <c r="H38" s="11">
        <f t="shared" si="5"/>
        <v>0</v>
      </c>
      <c r="I38" s="11">
        <f>IF(J37&lt;0,J37,0)</f>
        <v>0</v>
      </c>
      <c r="J38" s="323">
        <f t="shared" si="6"/>
        <v>0</v>
      </c>
      <c r="K38" s="328">
        <f t="shared" si="7"/>
        <v>0</v>
      </c>
      <c r="L38" s="328" t="e">
        <f t="shared" si="8"/>
        <v>#VALUE!</v>
      </c>
      <c r="M38" s="316">
        <v>4</v>
      </c>
      <c r="N38" s="316"/>
      <c r="O38" s="328">
        <f t="shared" si="3"/>
        <v>0</v>
      </c>
      <c r="P38" s="316">
        <f t="shared" si="9"/>
        <v>0</v>
      </c>
      <c r="Q38" s="316"/>
      <c r="R38" s="306"/>
      <c r="S38" s="301"/>
      <c r="T38" s="301"/>
      <c r="U38" s="301"/>
      <c r="V38" s="301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</row>
    <row r="39" spans="1:35" ht="12.75">
      <c r="A39" s="4">
        <v>5</v>
      </c>
      <c r="B39" s="9" t="s">
        <v>21</v>
      </c>
      <c r="C39" s="10">
        <f t="shared" si="0"/>
        <v>0</v>
      </c>
      <c r="D39" s="307">
        <f t="shared" si="4"/>
        <v>0</v>
      </c>
      <c r="E39" s="235">
        <f t="shared" si="1"/>
        <v>0</v>
      </c>
      <c r="F39" s="235">
        <f t="shared" si="2"/>
        <v>0</v>
      </c>
      <c r="G39" s="11">
        <f aca="true" t="shared" si="10" ref="G39:G46">IF($G$36=0,0,IF(L39&gt;(K39-I39),L39-(K39-I39)*$D$23,0))</f>
        <v>0</v>
      </c>
      <c r="H39" s="11">
        <f t="shared" si="5"/>
        <v>0</v>
      </c>
      <c r="I39" s="11">
        <f>IF(J38&lt;0,J38,0)</f>
        <v>0</v>
      </c>
      <c r="J39" s="323">
        <f t="shared" si="6"/>
        <v>0</v>
      </c>
      <c r="K39" s="328">
        <f t="shared" si="7"/>
        <v>0</v>
      </c>
      <c r="L39" s="328" t="e">
        <f t="shared" si="8"/>
        <v>#VALUE!</v>
      </c>
      <c r="M39" s="316">
        <v>5</v>
      </c>
      <c r="N39" s="316"/>
      <c r="O39" s="328">
        <f>C39+D39</f>
        <v>0</v>
      </c>
      <c r="P39" s="316">
        <f t="shared" si="9"/>
        <v>0</v>
      </c>
      <c r="Q39" s="316"/>
      <c r="R39" s="306"/>
      <c r="S39" s="301"/>
      <c r="T39" s="301"/>
      <c r="U39" s="301"/>
      <c r="V39" s="301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</row>
    <row r="40" spans="1:35" ht="12.75">
      <c r="A40" s="4">
        <v>6</v>
      </c>
      <c r="B40" s="9" t="s">
        <v>22</v>
      </c>
      <c r="C40" s="10">
        <f t="shared" si="0"/>
        <v>0</v>
      </c>
      <c r="D40" s="307">
        <f t="shared" si="4"/>
        <v>0</v>
      </c>
      <c r="E40" s="235">
        <f t="shared" si="1"/>
        <v>0</v>
      </c>
      <c r="F40" s="235">
        <f t="shared" si="2"/>
        <v>0</v>
      </c>
      <c r="G40" s="11">
        <f t="shared" si="10"/>
        <v>0</v>
      </c>
      <c r="H40" s="11">
        <f t="shared" si="5"/>
        <v>0</v>
      </c>
      <c r="I40" s="11">
        <f>IF(J39&lt;0,J39,0)</f>
        <v>0</v>
      </c>
      <c r="J40" s="323">
        <f t="shared" si="6"/>
        <v>0</v>
      </c>
      <c r="K40" s="328">
        <f t="shared" si="7"/>
        <v>0</v>
      </c>
      <c r="L40" s="328" t="e">
        <f t="shared" si="8"/>
        <v>#VALUE!</v>
      </c>
      <c r="M40" s="316">
        <v>6</v>
      </c>
      <c r="N40" s="316"/>
      <c r="O40" s="328">
        <f t="shared" si="3"/>
        <v>0</v>
      </c>
      <c r="P40" s="316">
        <f t="shared" si="9"/>
        <v>0</v>
      </c>
      <c r="Q40" s="316"/>
      <c r="R40" s="306"/>
      <c r="S40" s="301"/>
      <c r="T40" s="301"/>
      <c r="U40" s="301"/>
      <c r="V40" s="301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</row>
    <row r="41" spans="1:35" ht="12.75">
      <c r="A41" s="4">
        <v>7</v>
      </c>
      <c r="B41" s="9" t="s">
        <v>23</v>
      </c>
      <c r="C41" s="10">
        <f t="shared" si="0"/>
        <v>0</v>
      </c>
      <c r="D41" s="307">
        <f t="shared" si="4"/>
        <v>0</v>
      </c>
      <c r="E41" s="235">
        <f t="shared" si="1"/>
        <v>0</v>
      </c>
      <c r="F41" s="235">
        <f t="shared" si="2"/>
        <v>0</v>
      </c>
      <c r="G41" s="11">
        <f t="shared" si="10"/>
        <v>0</v>
      </c>
      <c r="H41" s="11">
        <f t="shared" si="5"/>
        <v>0</v>
      </c>
      <c r="I41" s="11">
        <f>IF(J40&lt;0,J40,0)</f>
        <v>0</v>
      </c>
      <c r="J41" s="323">
        <f t="shared" si="6"/>
        <v>0</v>
      </c>
      <c r="K41" s="328">
        <f t="shared" si="7"/>
        <v>0</v>
      </c>
      <c r="L41" s="328" t="e">
        <f t="shared" si="8"/>
        <v>#VALUE!</v>
      </c>
      <c r="M41" s="316">
        <v>7</v>
      </c>
      <c r="N41" s="316"/>
      <c r="O41" s="328">
        <f t="shared" si="3"/>
        <v>0</v>
      </c>
      <c r="P41" s="316">
        <f t="shared" si="9"/>
        <v>0</v>
      </c>
      <c r="Q41" s="316"/>
      <c r="R41" s="306"/>
      <c r="S41" s="301"/>
      <c r="T41" s="301"/>
      <c r="U41" s="301"/>
      <c r="V41" s="301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</row>
    <row r="42" spans="1:35" ht="12.75">
      <c r="A42" s="4">
        <v>8</v>
      </c>
      <c r="B42" s="9" t="s">
        <v>24</v>
      </c>
      <c r="C42" s="10">
        <f t="shared" si="0"/>
        <v>0</v>
      </c>
      <c r="D42" s="307">
        <f t="shared" si="4"/>
        <v>0</v>
      </c>
      <c r="E42" s="235">
        <f t="shared" si="1"/>
        <v>0</v>
      </c>
      <c r="F42" s="235">
        <f t="shared" si="2"/>
        <v>0</v>
      </c>
      <c r="G42" s="11">
        <f t="shared" si="10"/>
        <v>0</v>
      </c>
      <c r="H42" s="11">
        <f t="shared" si="5"/>
        <v>0</v>
      </c>
      <c r="I42" s="11"/>
      <c r="J42" s="323">
        <f t="shared" si="6"/>
        <v>0</v>
      </c>
      <c r="K42" s="328">
        <f t="shared" si="7"/>
        <v>0</v>
      </c>
      <c r="L42" s="328" t="e">
        <f t="shared" si="8"/>
        <v>#VALUE!</v>
      </c>
      <c r="M42" s="316">
        <v>8</v>
      </c>
      <c r="N42" s="316"/>
      <c r="O42" s="328">
        <f t="shared" si="3"/>
        <v>0</v>
      </c>
      <c r="P42" s="316">
        <f t="shared" si="9"/>
        <v>0</v>
      </c>
      <c r="Q42" s="316"/>
      <c r="R42" s="306"/>
      <c r="S42" s="301"/>
      <c r="T42" s="301"/>
      <c r="U42" s="301"/>
      <c r="V42" s="301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</row>
    <row r="43" spans="1:35" ht="12.75">
      <c r="A43" s="4">
        <v>9</v>
      </c>
      <c r="B43" s="9" t="s">
        <v>25</v>
      </c>
      <c r="C43" s="10">
        <f t="shared" si="0"/>
        <v>0</v>
      </c>
      <c r="D43" s="307">
        <f t="shared" si="4"/>
        <v>0</v>
      </c>
      <c r="E43" s="235">
        <f t="shared" si="1"/>
        <v>0</v>
      </c>
      <c r="F43" s="235">
        <f t="shared" si="2"/>
        <v>0</v>
      </c>
      <c r="G43" s="11">
        <f t="shared" si="10"/>
        <v>0</v>
      </c>
      <c r="H43" s="11">
        <f t="shared" si="5"/>
        <v>0</v>
      </c>
      <c r="I43" s="11"/>
      <c r="J43" s="323">
        <f t="shared" si="6"/>
        <v>0</v>
      </c>
      <c r="K43" s="328">
        <f t="shared" si="7"/>
        <v>0</v>
      </c>
      <c r="L43" s="328" t="e">
        <f t="shared" si="8"/>
        <v>#VALUE!</v>
      </c>
      <c r="M43" s="316">
        <v>9</v>
      </c>
      <c r="N43" s="316"/>
      <c r="O43" s="328">
        <f t="shared" si="3"/>
        <v>0</v>
      </c>
      <c r="P43" s="316">
        <f t="shared" si="9"/>
        <v>0</v>
      </c>
      <c r="Q43" s="316"/>
      <c r="R43" s="306"/>
      <c r="S43" s="301"/>
      <c r="T43" s="301"/>
      <c r="U43" s="301"/>
      <c r="V43" s="301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</row>
    <row r="44" spans="1:35" ht="12.75">
      <c r="A44" s="4">
        <v>10</v>
      </c>
      <c r="B44" s="9" t="s">
        <v>26</v>
      </c>
      <c r="C44" s="10">
        <f t="shared" si="0"/>
        <v>0</v>
      </c>
      <c r="D44" s="307">
        <f t="shared" si="4"/>
        <v>0</v>
      </c>
      <c r="E44" s="235">
        <f t="shared" si="1"/>
        <v>0</v>
      </c>
      <c r="F44" s="235">
        <f t="shared" si="2"/>
        <v>0</v>
      </c>
      <c r="G44" s="11">
        <f t="shared" si="10"/>
        <v>0</v>
      </c>
      <c r="H44" s="11">
        <f t="shared" si="5"/>
        <v>0</v>
      </c>
      <c r="I44" s="11"/>
      <c r="J44" s="323">
        <f t="shared" si="6"/>
        <v>0</v>
      </c>
      <c r="K44" s="328">
        <f t="shared" si="7"/>
        <v>0</v>
      </c>
      <c r="L44" s="328" t="e">
        <f t="shared" si="8"/>
        <v>#VALUE!</v>
      </c>
      <c r="M44" s="316">
        <v>10</v>
      </c>
      <c r="N44" s="316"/>
      <c r="O44" s="328">
        <f t="shared" si="3"/>
        <v>0</v>
      </c>
      <c r="P44" s="316">
        <f t="shared" si="9"/>
        <v>0</v>
      </c>
      <c r="Q44" s="316"/>
      <c r="R44" s="306"/>
      <c r="S44" s="301"/>
      <c r="T44" s="301"/>
      <c r="U44" s="301"/>
      <c r="V44" s="301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</row>
    <row r="45" spans="1:35" ht="12.75">
      <c r="A45" s="4">
        <v>11</v>
      </c>
      <c r="B45" s="9" t="s">
        <v>27</v>
      </c>
      <c r="C45" s="10">
        <f t="shared" si="0"/>
        <v>0</v>
      </c>
      <c r="D45" s="307">
        <f t="shared" si="4"/>
        <v>0</v>
      </c>
      <c r="E45" s="235">
        <f t="shared" si="1"/>
        <v>0</v>
      </c>
      <c r="F45" s="235">
        <f t="shared" si="2"/>
        <v>0</v>
      </c>
      <c r="G45" s="11">
        <f t="shared" si="10"/>
        <v>0</v>
      </c>
      <c r="H45" s="11">
        <f t="shared" si="5"/>
        <v>0</v>
      </c>
      <c r="I45" s="11"/>
      <c r="J45" s="323">
        <f t="shared" si="6"/>
        <v>0</v>
      </c>
      <c r="K45" s="328">
        <f t="shared" si="7"/>
        <v>0</v>
      </c>
      <c r="L45" s="328" t="e">
        <f t="shared" si="8"/>
        <v>#VALUE!</v>
      </c>
      <c r="M45" s="316">
        <v>11</v>
      </c>
      <c r="N45" s="316"/>
      <c r="O45" s="328">
        <f t="shared" si="3"/>
        <v>0</v>
      </c>
      <c r="P45" s="316">
        <f t="shared" si="9"/>
        <v>0</v>
      </c>
      <c r="Q45" s="316"/>
      <c r="R45" s="306"/>
      <c r="S45" s="301"/>
      <c r="T45" s="301"/>
      <c r="U45" s="301"/>
      <c r="V45" s="301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</row>
    <row r="46" spans="1:35" ht="13.5" thickBot="1">
      <c r="A46" s="4">
        <v>12</v>
      </c>
      <c r="B46" s="12" t="s">
        <v>28</v>
      </c>
      <c r="C46" s="10">
        <f t="shared" si="0"/>
        <v>0</v>
      </c>
      <c r="D46" s="307">
        <f t="shared" si="4"/>
        <v>0</v>
      </c>
      <c r="E46" s="235">
        <f t="shared" si="1"/>
        <v>0</v>
      </c>
      <c r="F46" s="235">
        <f t="shared" si="2"/>
        <v>0</v>
      </c>
      <c r="G46" s="11">
        <f t="shared" si="10"/>
        <v>0</v>
      </c>
      <c r="H46" s="11">
        <f t="shared" si="5"/>
        <v>0</v>
      </c>
      <c r="I46" s="11"/>
      <c r="J46" s="323">
        <f t="shared" si="6"/>
        <v>0</v>
      </c>
      <c r="K46" s="328">
        <f t="shared" si="7"/>
        <v>0</v>
      </c>
      <c r="L46" s="328" t="e">
        <f t="shared" si="8"/>
        <v>#VALUE!</v>
      </c>
      <c r="M46" s="316">
        <v>12</v>
      </c>
      <c r="N46" s="316"/>
      <c r="O46" s="328">
        <f t="shared" si="3"/>
        <v>0</v>
      </c>
      <c r="P46" s="316">
        <f t="shared" si="9"/>
        <v>0</v>
      </c>
      <c r="Q46" s="316"/>
      <c r="R46" s="306"/>
      <c r="S46" s="301"/>
      <c r="T46" s="301"/>
      <c r="U46" s="301"/>
      <c r="V46" s="301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</row>
    <row r="47" spans="2:35" ht="14.25" thickBot="1" thickTop="1">
      <c r="B47" s="237" t="str">
        <f>CONCATENATE("Dívida no ano de ",C4," em virtude da garantia (cláusula 14 do CCVE):")</f>
        <v>Dívida no ano de  em virtude da garantia (cláusula 14 do CCVE):</v>
      </c>
      <c r="C47" s="238">
        <f>IF($G$35=0,0,IF(K35&lt;L35,SUM($G$35:$G$46),0))</f>
        <v>0</v>
      </c>
      <c r="D47" s="239"/>
      <c r="E47" s="239"/>
      <c r="F47" s="239"/>
      <c r="G47" s="239"/>
      <c r="H47" s="239"/>
      <c r="I47" s="239"/>
      <c r="J47" s="324">
        <f>SUM(J35:J46)-I36</f>
        <v>0</v>
      </c>
      <c r="K47" s="316"/>
      <c r="L47" s="329"/>
      <c r="M47" s="316"/>
      <c r="N47" s="316"/>
      <c r="O47" s="316"/>
      <c r="P47" s="316">
        <f>MIN(P35:P46)</f>
        <v>0</v>
      </c>
      <c r="Q47" s="316"/>
      <c r="R47" s="306"/>
      <c r="S47" s="301"/>
      <c r="T47" s="301"/>
      <c r="U47" s="301"/>
      <c r="V47" s="301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</row>
    <row r="48" spans="2:35" s="4" customFormat="1" ht="13.5" thickTop="1">
      <c r="B48" s="301"/>
      <c r="C48" s="316"/>
      <c r="D48" s="317">
        <v>38168</v>
      </c>
      <c r="E48" s="316"/>
      <c r="F48" s="316"/>
      <c r="G48" s="316"/>
      <c r="H48" s="301"/>
      <c r="I48" s="332"/>
      <c r="J48" s="301"/>
      <c r="K48" s="301"/>
      <c r="L48" s="316"/>
      <c r="M48" s="316"/>
      <c r="N48" s="316"/>
      <c r="O48" s="316"/>
      <c r="P48" s="316"/>
      <c r="Q48" s="316"/>
      <c r="R48" s="306"/>
      <c r="S48" s="301"/>
      <c r="T48" s="301"/>
      <c r="U48" s="301"/>
      <c r="V48" s="301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</row>
    <row r="49" spans="2:35" s="4" customFormat="1" ht="12.75">
      <c r="B49" s="301"/>
      <c r="C49" s="316"/>
      <c r="D49" s="317">
        <v>38187</v>
      </c>
      <c r="E49" s="316"/>
      <c r="F49" s="316"/>
      <c r="G49" s="316"/>
      <c r="H49" s="301"/>
      <c r="I49" s="301"/>
      <c r="J49" s="301"/>
      <c r="K49" s="301"/>
      <c r="L49" s="316"/>
      <c r="M49" s="316"/>
      <c r="N49" s="316"/>
      <c r="O49" s="316"/>
      <c r="P49" s="316"/>
      <c r="Q49" s="316"/>
      <c r="R49" s="301"/>
      <c r="S49" s="301"/>
      <c r="T49" s="301"/>
      <c r="U49" s="301"/>
      <c r="V49" s="301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</row>
    <row r="50" spans="2:35" s="4" customFormat="1" ht="12.75">
      <c r="B50" s="301"/>
      <c r="C50" s="316"/>
      <c r="D50" s="317">
        <v>38188</v>
      </c>
      <c r="E50" s="316"/>
      <c r="F50" s="316"/>
      <c r="G50" s="316"/>
      <c r="H50" s="301"/>
      <c r="I50" s="301"/>
      <c r="J50" s="301"/>
      <c r="K50" s="301"/>
      <c r="L50" s="316"/>
      <c r="M50" s="316"/>
      <c r="N50" s="316"/>
      <c r="O50" s="316"/>
      <c r="P50" s="316"/>
      <c r="Q50" s="316"/>
      <c r="R50" s="301"/>
      <c r="S50" s="301"/>
      <c r="T50" s="301"/>
      <c r="U50" s="301"/>
      <c r="V50" s="301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</row>
    <row r="51" spans="2:35" s="4" customFormat="1" ht="12.75">
      <c r="B51" s="301"/>
      <c r="C51" s="316"/>
      <c r="D51" s="317">
        <v>38189</v>
      </c>
      <c r="E51" s="316"/>
      <c r="F51" s="316"/>
      <c r="G51" s="316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</row>
    <row r="52" spans="2:35" s="4" customFormat="1" ht="12.75">
      <c r="B52" s="301"/>
      <c r="C52" s="316">
        <v>2007</v>
      </c>
      <c r="D52" s="317">
        <v>38210</v>
      </c>
      <c r="E52" s="316"/>
      <c r="F52" s="316"/>
      <c r="G52" s="316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</row>
    <row r="53" spans="2:35" s="4" customFormat="1" ht="12.75">
      <c r="B53" s="301"/>
      <c r="C53" s="316">
        <v>2008</v>
      </c>
      <c r="D53" s="317">
        <v>38245</v>
      </c>
      <c r="E53" s="316"/>
      <c r="F53" s="316"/>
      <c r="G53" s="316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</row>
    <row r="54" spans="2:35" s="4" customFormat="1" ht="12.75">
      <c r="B54" s="301"/>
      <c r="C54" s="316">
        <v>2009</v>
      </c>
      <c r="D54" s="317">
        <v>38344</v>
      </c>
      <c r="E54" s="316"/>
      <c r="F54" s="316"/>
      <c r="G54" s="316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</row>
    <row r="55" spans="2:35" s="4" customFormat="1" ht="12.75">
      <c r="B55" s="301"/>
      <c r="C55" s="316">
        <v>2010</v>
      </c>
      <c r="D55" s="317">
        <v>38348</v>
      </c>
      <c r="E55" s="316"/>
      <c r="F55" s="316"/>
      <c r="G55" s="316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</row>
    <row r="56" spans="2:35" s="4" customFormat="1" ht="12.75">
      <c r="B56" s="301"/>
      <c r="C56" s="316">
        <v>2011</v>
      </c>
      <c r="D56" s="317">
        <v>38349</v>
      </c>
      <c r="E56" s="316"/>
      <c r="F56" s="316"/>
      <c r="G56" s="316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</row>
    <row r="57" spans="2:35" s="4" customFormat="1" ht="12.75">
      <c r="B57" s="301"/>
      <c r="C57" s="316">
        <v>2012</v>
      </c>
      <c r="D57" s="317">
        <v>38415</v>
      </c>
      <c r="E57" s="316"/>
      <c r="F57" s="316"/>
      <c r="G57" s="316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</row>
    <row r="58" spans="2:35" s="4" customFormat="1" ht="12.75">
      <c r="B58" s="301"/>
      <c r="C58" s="316">
        <v>2013</v>
      </c>
      <c r="D58" s="317">
        <v>38418</v>
      </c>
      <c r="E58" s="316"/>
      <c r="F58" s="316"/>
      <c r="G58" s="316"/>
      <c r="H58" s="301"/>
      <c r="I58" s="301"/>
      <c r="J58" s="301"/>
      <c r="K58" s="301"/>
      <c r="L58" s="301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</row>
    <row r="59" spans="2:35" s="4" customFormat="1" ht="12.75">
      <c r="B59" s="301"/>
      <c r="C59" s="316">
        <v>2014</v>
      </c>
      <c r="D59" s="317">
        <v>38432</v>
      </c>
      <c r="E59" s="316"/>
      <c r="F59" s="316"/>
      <c r="G59" s="316"/>
      <c r="H59" s="301"/>
      <c r="I59" s="301"/>
      <c r="J59" s="301"/>
      <c r="K59" s="301"/>
      <c r="L59" s="301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</row>
    <row r="60" spans="2:35" s="4" customFormat="1" ht="12.75">
      <c r="B60" s="301"/>
      <c r="C60" s="316">
        <v>2015</v>
      </c>
      <c r="D60" s="317">
        <v>38492</v>
      </c>
      <c r="E60" s="316"/>
      <c r="F60" s="316"/>
      <c r="G60" s="316"/>
      <c r="H60" s="301"/>
      <c r="I60" s="301"/>
      <c r="J60" s="301"/>
      <c r="K60" s="301"/>
      <c r="L60" s="301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</row>
    <row r="61" spans="2:32" s="4" customFormat="1" ht="12.75">
      <c r="B61" s="301"/>
      <c r="C61" s="316">
        <v>2016</v>
      </c>
      <c r="D61" s="316"/>
      <c r="E61" s="316"/>
      <c r="F61" s="316"/>
      <c r="G61" s="316"/>
      <c r="H61" s="301"/>
      <c r="I61" s="301"/>
      <c r="J61" s="301"/>
      <c r="K61" s="301"/>
      <c r="L61" s="301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</row>
    <row r="62" spans="2:26" s="4" customFormat="1" ht="12.75">
      <c r="B62" s="301"/>
      <c r="C62" s="316">
        <v>2017</v>
      </c>
      <c r="D62" s="316"/>
      <c r="E62" s="316"/>
      <c r="F62" s="316"/>
      <c r="G62" s="316"/>
      <c r="H62" s="301"/>
      <c r="I62" s="301"/>
      <c r="J62" s="301"/>
      <c r="K62" s="301"/>
      <c r="L62" s="301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</row>
    <row r="63" spans="2:26" s="4" customFormat="1" ht="12.75">
      <c r="B63" s="301"/>
      <c r="C63" s="316">
        <v>2018</v>
      </c>
      <c r="D63" s="316"/>
      <c r="E63" s="316"/>
      <c r="F63" s="316"/>
      <c r="G63" s="316"/>
      <c r="H63" s="301"/>
      <c r="I63" s="301"/>
      <c r="J63" s="301"/>
      <c r="K63" s="301"/>
      <c r="L63" s="301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</row>
    <row r="64" spans="2:26" s="4" customFormat="1" ht="12.75">
      <c r="B64" s="301"/>
      <c r="C64" s="316">
        <v>2019</v>
      </c>
      <c r="D64" s="316"/>
      <c r="E64" s="316"/>
      <c r="F64" s="316"/>
      <c r="G64" s="316"/>
      <c r="H64" s="301"/>
      <c r="I64" s="301"/>
      <c r="J64" s="301"/>
      <c r="K64" s="301"/>
      <c r="L64" s="301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</row>
    <row r="65" spans="2:26" s="4" customFormat="1" ht="12.75">
      <c r="B65" s="301"/>
      <c r="C65" s="316">
        <v>2020</v>
      </c>
      <c r="D65" s="316"/>
      <c r="E65" s="316"/>
      <c r="F65" s="316"/>
      <c r="G65" s="316"/>
      <c r="H65" s="301"/>
      <c r="I65" s="301"/>
      <c r="J65" s="301"/>
      <c r="K65" s="301"/>
      <c r="L65" s="301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</row>
    <row r="66" spans="2:22" s="4" customFormat="1" ht="12.75">
      <c r="B66" s="301"/>
      <c r="C66" s="316">
        <v>2021</v>
      </c>
      <c r="D66" s="316"/>
      <c r="E66" s="316"/>
      <c r="F66" s="316"/>
      <c r="G66" s="316"/>
      <c r="H66" s="301"/>
      <c r="I66" s="301"/>
      <c r="J66" s="301"/>
      <c r="K66" s="301"/>
      <c r="L66" s="301"/>
      <c r="M66" s="295"/>
      <c r="N66" s="295"/>
      <c r="O66" s="295"/>
      <c r="P66" s="295"/>
      <c r="Q66" s="295"/>
      <c r="R66" s="295"/>
      <c r="S66" s="295"/>
      <c r="T66" s="295"/>
      <c r="U66" s="295"/>
      <c r="V66" s="295"/>
    </row>
    <row r="67" spans="2:22" s="4" customFormat="1" ht="12.75">
      <c r="B67" s="301"/>
      <c r="C67" s="316">
        <v>2022</v>
      </c>
      <c r="D67" s="316"/>
      <c r="E67" s="316"/>
      <c r="F67" s="316"/>
      <c r="G67" s="316"/>
      <c r="H67" s="301"/>
      <c r="I67" s="301"/>
      <c r="J67" s="301"/>
      <c r="K67" s="301"/>
      <c r="L67" s="301"/>
      <c r="M67" s="295"/>
      <c r="N67" s="295"/>
      <c r="O67" s="295"/>
      <c r="P67" s="295"/>
      <c r="Q67" s="295"/>
      <c r="R67" s="295"/>
      <c r="S67" s="295"/>
      <c r="T67" s="295"/>
      <c r="U67" s="295"/>
      <c r="V67" s="295"/>
    </row>
    <row r="68" spans="2:22" s="4" customFormat="1" ht="12.75">
      <c r="B68" s="301"/>
      <c r="C68" s="316">
        <v>2023</v>
      </c>
      <c r="D68" s="316"/>
      <c r="E68" s="316"/>
      <c r="F68" s="316"/>
      <c r="G68" s="316"/>
      <c r="H68" s="301"/>
      <c r="I68" s="301"/>
      <c r="J68" s="301"/>
      <c r="K68" s="301"/>
      <c r="L68" s="301"/>
      <c r="M68" s="295"/>
      <c r="N68" s="295"/>
      <c r="O68" s="295"/>
      <c r="P68" s="295"/>
      <c r="Q68" s="295"/>
      <c r="R68" s="295"/>
      <c r="S68" s="295"/>
      <c r="T68" s="295"/>
      <c r="U68" s="295"/>
      <c r="V68" s="295"/>
    </row>
    <row r="69" spans="2:22" s="4" customFormat="1" ht="12.75">
      <c r="B69" s="301"/>
      <c r="C69" s="316">
        <v>2024</v>
      </c>
      <c r="D69" s="316"/>
      <c r="E69" s="316"/>
      <c r="F69" s="316"/>
      <c r="G69" s="316"/>
      <c r="H69" s="301"/>
      <c r="I69" s="301"/>
      <c r="J69" s="301"/>
      <c r="K69" s="301"/>
      <c r="L69" s="301"/>
      <c r="M69" s="295"/>
      <c r="N69" s="295"/>
      <c r="O69" s="295"/>
      <c r="P69" s="295"/>
      <c r="Q69" s="295"/>
      <c r="R69" s="295"/>
      <c r="S69" s="295"/>
      <c r="T69" s="295"/>
      <c r="U69" s="295"/>
      <c r="V69" s="295"/>
    </row>
    <row r="70" spans="2:22" s="4" customFormat="1" ht="12.75">
      <c r="B70" s="301"/>
      <c r="C70" s="316">
        <v>2025</v>
      </c>
      <c r="D70" s="316"/>
      <c r="E70" s="316"/>
      <c r="F70" s="316"/>
      <c r="G70" s="316"/>
      <c r="H70" s="301"/>
      <c r="I70" s="301"/>
      <c r="J70" s="301"/>
      <c r="K70" s="301"/>
      <c r="L70" s="301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2:22" s="4" customFormat="1" ht="12.75">
      <c r="B71" s="301"/>
      <c r="C71" s="316">
        <v>2026</v>
      </c>
      <c r="D71" s="316"/>
      <c r="E71" s="316"/>
      <c r="F71" s="316"/>
      <c r="G71" s="316"/>
      <c r="H71" s="301"/>
      <c r="I71" s="301"/>
      <c r="J71" s="301"/>
      <c r="K71" s="301"/>
      <c r="L71" s="301"/>
      <c r="M71" s="295"/>
      <c r="N71" s="295"/>
      <c r="O71" s="295"/>
      <c r="P71" s="295"/>
      <c r="Q71" s="295"/>
      <c r="R71" s="295"/>
      <c r="S71" s="295"/>
      <c r="T71" s="295"/>
      <c r="U71" s="295"/>
      <c r="V71" s="295"/>
    </row>
    <row r="72" spans="2:22" s="4" customFormat="1" ht="12.75">
      <c r="B72" s="301"/>
      <c r="C72" s="316">
        <v>2027</v>
      </c>
      <c r="D72" s="316"/>
      <c r="E72" s="316"/>
      <c r="F72" s="316"/>
      <c r="G72" s="316"/>
      <c r="H72" s="301"/>
      <c r="I72" s="301"/>
      <c r="J72" s="301"/>
      <c r="K72" s="301"/>
      <c r="L72" s="301"/>
      <c r="M72" s="295"/>
      <c r="N72" s="295"/>
      <c r="O72" s="295"/>
      <c r="P72" s="295"/>
      <c r="Q72" s="295"/>
      <c r="R72" s="295"/>
      <c r="S72" s="295"/>
      <c r="T72" s="295"/>
      <c r="U72" s="295"/>
      <c r="V72" s="295"/>
    </row>
    <row r="73" spans="2:22" s="4" customFormat="1" ht="12.75">
      <c r="B73" s="301"/>
      <c r="C73" s="316">
        <v>2028</v>
      </c>
      <c r="D73" s="316"/>
      <c r="E73" s="316"/>
      <c r="F73" s="316"/>
      <c r="G73" s="316"/>
      <c r="H73" s="301"/>
      <c r="I73" s="301"/>
      <c r="J73" s="301"/>
      <c r="K73" s="301"/>
      <c r="L73" s="301"/>
      <c r="M73" s="295"/>
      <c r="N73" s="295"/>
      <c r="O73" s="295"/>
      <c r="P73" s="295"/>
      <c r="Q73" s="295"/>
      <c r="R73" s="295"/>
      <c r="S73" s="295"/>
      <c r="T73" s="295"/>
      <c r="U73" s="295"/>
      <c r="V73" s="295"/>
    </row>
    <row r="74" spans="2:22" s="4" customFormat="1" ht="12.75">
      <c r="B74" s="301"/>
      <c r="C74" s="316">
        <v>2029</v>
      </c>
      <c r="D74" s="316"/>
      <c r="E74" s="316"/>
      <c r="F74" s="316"/>
      <c r="G74" s="316"/>
      <c r="H74" s="301"/>
      <c r="I74" s="301"/>
      <c r="J74" s="301"/>
      <c r="K74" s="301"/>
      <c r="L74" s="301"/>
      <c r="M74" s="295"/>
      <c r="N74" s="295"/>
      <c r="O74" s="295"/>
      <c r="P74" s="295"/>
      <c r="Q74" s="295"/>
      <c r="R74" s="295"/>
      <c r="S74" s="295"/>
      <c r="T74" s="295"/>
      <c r="U74" s="295"/>
      <c r="V74" s="295"/>
    </row>
    <row r="75" spans="2:22" s="4" customFormat="1" ht="12.75">
      <c r="B75" s="301"/>
      <c r="C75" s="316">
        <v>2030</v>
      </c>
      <c r="D75" s="316"/>
      <c r="E75" s="316"/>
      <c r="F75" s="316"/>
      <c r="G75" s="316"/>
      <c r="H75" s="301"/>
      <c r="I75" s="301"/>
      <c r="J75" s="301"/>
      <c r="K75" s="301"/>
      <c r="L75" s="301"/>
      <c r="M75" s="295"/>
      <c r="N75" s="295"/>
      <c r="O75" s="295"/>
      <c r="P75" s="295"/>
      <c r="Q75" s="295"/>
      <c r="R75" s="295"/>
      <c r="S75" s="295"/>
      <c r="T75" s="295"/>
      <c r="U75" s="295"/>
      <c r="V75" s="295"/>
    </row>
    <row r="76" spans="2:22" s="4" customFormat="1" ht="12.75">
      <c r="B76" s="301"/>
      <c r="C76" s="316"/>
      <c r="D76" s="316"/>
      <c r="E76" s="316"/>
      <c r="F76" s="316"/>
      <c r="G76" s="316"/>
      <c r="H76" s="301"/>
      <c r="I76" s="301"/>
      <c r="J76" s="301"/>
      <c r="K76" s="301"/>
      <c r="L76" s="301"/>
      <c r="M76" s="295"/>
      <c r="N76" s="295"/>
      <c r="O76" s="295"/>
      <c r="P76" s="295"/>
      <c r="Q76" s="295"/>
      <c r="R76" s="295"/>
      <c r="S76" s="295"/>
      <c r="T76" s="295"/>
      <c r="U76" s="295"/>
      <c r="V76" s="295"/>
    </row>
    <row r="77" spans="2:22" s="4" customFormat="1" ht="12.75">
      <c r="B77" s="301"/>
      <c r="C77" s="316"/>
      <c r="D77" s="316"/>
      <c r="E77" s="316"/>
      <c r="F77" s="316"/>
      <c r="G77" s="316"/>
      <c r="H77" s="301"/>
      <c r="I77" s="301"/>
      <c r="J77" s="301"/>
      <c r="K77" s="301"/>
      <c r="L77" s="301"/>
      <c r="M77" s="295"/>
      <c r="N77" s="295"/>
      <c r="O77" s="295"/>
      <c r="P77" s="295"/>
      <c r="Q77" s="295"/>
      <c r="R77" s="295"/>
      <c r="S77" s="295"/>
      <c r="T77" s="295"/>
      <c r="U77" s="295"/>
      <c r="V77" s="295"/>
    </row>
    <row r="78" spans="2:22" s="4" customFormat="1" ht="12.75">
      <c r="B78" s="301"/>
      <c r="C78" s="316"/>
      <c r="D78" s="316"/>
      <c r="E78" s="316"/>
      <c r="F78" s="316"/>
      <c r="G78" s="316"/>
      <c r="H78" s="301"/>
      <c r="I78" s="301"/>
      <c r="J78" s="301"/>
      <c r="K78" s="301"/>
      <c r="L78" s="301"/>
      <c r="M78" s="295"/>
      <c r="N78" s="295"/>
      <c r="O78" s="295"/>
      <c r="P78" s="295"/>
      <c r="Q78" s="295"/>
      <c r="R78" s="295"/>
      <c r="S78" s="295"/>
      <c r="T78" s="295"/>
      <c r="U78" s="295"/>
      <c r="V78" s="295"/>
    </row>
    <row r="79" spans="2:12" ht="12.75">
      <c r="B79" s="301"/>
      <c r="C79" s="316"/>
      <c r="D79" s="316"/>
      <c r="E79" s="316"/>
      <c r="F79" s="316"/>
      <c r="G79" s="316"/>
      <c r="H79" s="301"/>
      <c r="I79" s="301"/>
      <c r="J79" s="301"/>
      <c r="K79" s="301"/>
      <c r="L79" s="301"/>
    </row>
    <row r="80" spans="2:12" ht="12.75">
      <c r="B80" s="301"/>
      <c r="C80" s="316"/>
      <c r="D80" s="316"/>
      <c r="E80" s="316"/>
      <c r="F80" s="316"/>
      <c r="G80" s="316"/>
      <c r="H80" s="301"/>
      <c r="I80" s="301"/>
      <c r="J80" s="301"/>
      <c r="K80" s="301"/>
      <c r="L80" s="301"/>
    </row>
    <row r="81" spans="2:12" ht="12.75">
      <c r="B81" s="301"/>
      <c r="C81" s="316"/>
      <c r="D81" s="316"/>
      <c r="E81" s="316"/>
      <c r="F81" s="316"/>
      <c r="G81" s="316"/>
      <c r="H81" s="301"/>
      <c r="I81" s="301"/>
      <c r="J81" s="301"/>
      <c r="K81" s="301"/>
      <c r="L81" s="301"/>
    </row>
    <row r="82" spans="2:12" ht="12.75">
      <c r="B82" s="301"/>
      <c r="C82" s="316"/>
      <c r="D82" s="316"/>
      <c r="E82" s="316"/>
      <c r="F82" s="316"/>
      <c r="G82" s="316"/>
      <c r="H82" s="301"/>
      <c r="I82" s="301"/>
      <c r="J82" s="301"/>
      <c r="K82" s="301"/>
      <c r="L82" s="301"/>
    </row>
    <row r="83" spans="2:12" ht="12.75">
      <c r="B83" s="301"/>
      <c r="C83" s="316"/>
      <c r="D83" s="316"/>
      <c r="E83" s="316"/>
      <c r="F83" s="316"/>
      <c r="G83" s="316"/>
      <c r="H83" s="301"/>
      <c r="I83" s="301"/>
      <c r="J83" s="301"/>
      <c r="K83" s="301"/>
      <c r="L83" s="301"/>
    </row>
    <row r="84" spans="2:12" ht="12.75">
      <c r="B84" s="301"/>
      <c r="C84" s="316"/>
      <c r="D84" s="316"/>
      <c r="E84" s="316"/>
      <c r="F84" s="316"/>
      <c r="G84" s="316"/>
      <c r="H84" s="301"/>
      <c r="I84" s="301"/>
      <c r="J84" s="301"/>
      <c r="K84" s="301"/>
      <c r="L84" s="301"/>
    </row>
    <row r="85" spans="2:12" ht="12.75">
      <c r="B85" s="301"/>
      <c r="C85" s="316"/>
      <c r="D85" s="316"/>
      <c r="E85" s="316"/>
      <c r="F85" s="316"/>
      <c r="G85" s="316"/>
      <c r="H85" s="301"/>
      <c r="I85" s="301"/>
      <c r="J85" s="301"/>
      <c r="K85" s="301"/>
      <c r="L85" s="301"/>
    </row>
    <row r="86" spans="2:12" ht="12.75">
      <c r="B86" s="301"/>
      <c r="C86" s="316"/>
      <c r="D86" s="316"/>
      <c r="E86" s="316"/>
      <c r="F86" s="316"/>
      <c r="G86" s="316"/>
      <c r="H86" s="301"/>
      <c r="I86" s="301"/>
      <c r="J86" s="301"/>
      <c r="K86" s="301"/>
      <c r="L86" s="301"/>
    </row>
    <row r="87" spans="2:12" ht="12.75">
      <c r="B87" s="301"/>
      <c r="C87" s="316"/>
      <c r="D87" s="316"/>
      <c r="E87" s="316"/>
      <c r="F87" s="316"/>
      <c r="G87" s="316"/>
      <c r="H87" s="301"/>
      <c r="I87" s="301"/>
      <c r="J87" s="301"/>
      <c r="K87" s="301"/>
      <c r="L87" s="301"/>
    </row>
    <row r="88" spans="2:12" ht="12.75">
      <c r="B88" s="301"/>
      <c r="C88" s="316"/>
      <c r="D88" s="316"/>
      <c r="E88" s="316"/>
      <c r="F88" s="316"/>
      <c r="G88" s="316"/>
      <c r="H88" s="301"/>
      <c r="I88" s="301"/>
      <c r="J88" s="301"/>
      <c r="K88" s="301"/>
      <c r="L88" s="301"/>
    </row>
    <row r="89" spans="2:12" ht="12.75">
      <c r="B89" s="301"/>
      <c r="C89" s="316"/>
      <c r="D89" s="316"/>
      <c r="E89" s="316"/>
      <c r="F89" s="316"/>
      <c r="G89" s="316"/>
      <c r="H89" s="301"/>
      <c r="I89" s="301"/>
      <c r="J89" s="301"/>
      <c r="K89" s="301"/>
      <c r="L89" s="301"/>
    </row>
    <row r="90" spans="2:12" ht="12.75">
      <c r="B90" s="301"/>
      <c r="C90" s="316"/>
      <c r="D90" s="316"/>
      <c r="E90" s="316"/>
      <c r="F90" s="316"/>
      <c r="G90" s="316"/>
      <c r="H90" s="301"/>
      <c r="I90" s="301"/>
      <c r="J90" s="301"/>
      <c r="K90" s="301"/>
      <c r="L90" s="301"/>
    </row>
    <row r="91" spans="2:12" ht="12.75">
      <c r="B91" s="301"/>
      <c r="C91" s="316"/>
      <c r="D91" s="316"/>
      <c r="E91" s="316"/>
      <c r="F91" s="316"/>
      <c r="G91" s="316"/>
      <c r="H91" s="301"/>
      <c r="I91" s="301"/>
      <c r="J91" s="301"/>
      <c r="K91" s="301"/>
      <c r="L91" s="301"/>
    </row>
    <row r="92" spans="2:12" ht="12.75">
      <c r="B92" s="301"/>
      <c r="C92" s="316"/>
      <c r="D92" s="316"/>
      <c r="E92" s="316"/>
      <c r="F92" s="316"/>
      <c r="G92" s="316"/>
      <c r="H92" s="301"/>
      <c r="I92" s="301"/>
      <c r="J92" s="301"/>
      <c r="K92" s="301"/>
      <c r="L92" s="301"/>
    </row>
    <row r="93" spans="2:12" ht="12.75">
      <c r="B93" s="301"/>
      <c r="C93" s="316"/>
      <c r="D93" s="316"/>
      <c r="E93" s="316"/>
      <c r="F93" s="316"/>
      <c r="G93" s="316"/>
      <c r="H93" s="301"/>
      <c r="I93" s="301"/>
      <c r="J93" s="301"/>
      <c r="K93" s="301"/>
      <c r="L93" s="301"/>
    </row>
    <row r="94" spans="2:12" ht="12.75">
      <c r="B94" s="301"/>
      <c r="C94" s="316"/>
      <c r="D94" s="316"/>
      <c r="E94" s="316"/>
      <c r="F94" s="316"/>
      <c r="G94" s="316"/>
      <c r="H94" s="301"/>
      <c r="I94" s="301"/>
      <c r="J94" s="301"/>
      <c r="K94" s="301"/>
      <c r="L94" s="301"/>
    </row>
    <row r="95" spans="2:12" ht="12.75">
      <c r="B95" s="301"/>
      <c r="C95" s="316"/>
      <c r="D95" s="316"/>
      <c r="E95" s="316"/>
      <c r="F95" s="316"/>
      <c r="G95" s="316"/>
      <c r="H95" s="301"/>
      <c r="I95" s="301"/>
      <c r="J95" s="301"/>
      <c r="K95" s="301"/>
      <c r="L95" s="301"/>
    </row>
    <row r="96" spans="2:12" ht="12.75">
      <c r="B96" s="301"/>
      <c r="C96" s="316"/>
      <c r="D96" s="316"/>
      <c r="E96" s="316"/>
      <c r="F96" s="316"/>
      <c r="G96" s="316"/>
      <c r="H96" s="301"/>
      <c r="I96" s="301"/>
      <c r="J96" s="301"/>
      <c r="K96" s="301"/>
      <c r="L96" s="301"/>
    </row>
    <row r="97" spans="2:12" ht="12.75">
      <c r="B97" s="301"/>
      <c r="C97" s="316"/>
      <c r="D97" s="316"/>
      <c r="E97" s="316"/>
      <c r="F97" s="316"/>
      <c r="G97" s="316"/>
      <c r="H97" s="301"/>
      <c r="I97" s="301"/>
      <c r="J97" s="301"/>
      <c r="K97" s="301"/>
      <c r="L97" s="301"/>
    </row>
    <row r="98" spans="2:12" ht="12.75">
      <c r="B98" s="301"/>
      <c r="C98" s="316"/>
      <c r="D98" s="316"/>
      <c r="E98" s="316"/>
      <c r="F98" s="316"/>
      <c r="G98" s="316"/>
      <c r="H98" s="301"/>
      <c r="I98" s="301"/>
      <c r="J98" s="301"/>
      <c r="K98" s="301"/>
      <c r="L98" s="301"/>
    </row>
    <row r="99" spans="2:12" ht="12.75">
      <c r="B99" s="301"/>
      <c r="C99" s="316"/>
      <c r="D99" s="316"/>
      <c r="E99" s="316"/>
      <c r="F99" s="316"/>
      <c r="G99" s="316"/>
      <c r="H99" s="301"/>
      <c r="I99" s="301"/>
      <c r="J99" s="301"/>
      <c r="K99" s="301"/>
      <c r="L99" s="301"/>
    </row>
    <row r="100" spans="2:12" ht="12.75">
      <c r="B100" s="301"/>
      <c r="C100" s="316"/>
      <c r="D100" s="316"/>
      <c r="E100" s="316"/>
      <c r="F100" s="316"/>
      <c r="G100" s="316"/>
      <c r="H100" s="301"/>
      <c r="I100" s="301"/>
      <c r="J100" s="301"/>
      <c r="K100" s="301"/>
      <c r="L100" s="301"/>
    </row>
    <row r="101" spans="2:12" ht="12.75">
      <c r="B101" s="301"/>
      <c r="C101" s="316"/>
      <c r="D101" s="316"/>
      <c r="E101" s="316"/>
      <c r="F101" s="316"/>
      <c r="G101" s="316"/>
      <c r="H101" s="301"/>
      <c r="I101" s="301"/>
      <c r="J101" s="301"/>
      <c r="K101" s="301"/>
      <c r="L101" s="301"/>
    </row>
    <row r="102" spans="2:12" ht="12.75">
      <c r="B102" s="301"/>
      <c r="C102" s="316"/>
      <c r="D102" s="316"/>
      <c r="E102" s="316"/>
      <c r="F102" s="316"/>
      <c r="G102" s="316"/>
      <c r="H102" s="301"/>
      <c r="I102" s="301"/>
      <c r="J102" s="301"/>
      <c r="K102" s="301"/>
      <c r="L102" s="301"/>
    </row>
    <row r="103" spans="2:12" ht="12.75">
      <c r="B103" s="301"/>
      <c r="C103" s="316"/>
      <c r="D103" s="316"/>
      <c r="E103" s="316"/>
      <c r="F103" s="316"/>
      <c r="G103" s="316"/>
      <c r="H103" s="301"/>
      <c r="I103" s="301"/>
      <c r="J103" s="301"/>
      <c r="K103" s="301"/>
      <c r="L103" s="301"/>
    </row>
    <row r="104" spans="2:12" ht="12.75">
      <c r="B104" s="301"/>
      <c r="C104" s="316"/>
      <c r="D104" s="316"/>
      <c r="E104" s="316"/>
      <c r="F104" s="316"/>
      <c r="G104" s="316"/>
      <c r="H104" s="301"/>
      <c r="I104" s="301"/>
      <c r="J104" s="301"/>
      <c r="K104" s="301"/>
      <c r="L104" s="301"/>
    </row>
    <row r="105" spans="2:12" ht="12.75"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</row>
    <row r="106" spans="2:12" ht="12.75"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</row>
    <row r="107" spans="2:12" ht="12.75"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</row>
    <row r="108" spans="2:12" ht="12.75"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</row>
    <row r="109" spans="3:12" ht="12.75">
      <c r="C109" s="319"/>
      <c r="D109" s="319"/>
      <c r="E109" s="319"/>
      <c r="F109" s="319"/>
      <c r="G109" s="319"/>
      <c r="H109" s="319"/>
      <c r="I109" s="319"/>
      <c r="J109" s="319"/>
      <c r="K109" s="319"/>
      <c r="L109" s="301"/>
    </row>
    <row r="110" spans="3:12" ht="12.75"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</row>
  </sheetData>
  <sheetProtection password="8147" sheet="1" objects="1" selectLockedCells="1"/>
  <mergeCells count="12">
    <mergeCell ref="D29:F29"/>
    <mergeCell ref="D28:F28"/>
    <mergeCell ref="B3:C3"/>
    <mergeCell ref="D24:F24"/>
    <mergeCell ref="D32:F32"/>
    <mergeCell ref="D33:F33"/>
    <mergeCell ref="C1:J1"/>
    <mergeCell ref="D31:F31"/>
    <mergeCell ref="D27:F27"/>
    <mergeCell ref="D25:F25"/>
    <mergeCell ref="D26:F26"/>
    <mergeCell ref="D30:F30"/>
  </mergeCells>
  <conditionalFormatting sqref="G29:I29">
    <cfRule type="cellIs" priority="1" dxfId="2" operator="equal" stopIfTrue="1">
      <formula>$C$8</formula>
    </cfRule>
  </conditionalFormatting>
  <dataValidations count="3">
    <dataValidation type="list" allowBlank="1" showInputMessage="1" showErrorMessage="1" sqref="C4">
      <formula1>$C$52:$C$75</formula1>
    </dataValidation>
    <dataValidation type="list" allowBlank="1" showInputMessage="1" showErrorMessage="1" sqref="C5">
      <formula1>$D$48:$D$60</formula1>
    </dataValidation>
    <dataValidation type="list" allowBlank="1" showInputMessage="1" showErrorMessage="1" sqref="C16">
      <formula1>$D$21:$D$22</formula1>
    </dataValidation>
  </dataValidation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39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2.7109375" style="2" customWidth="1"/>
    <col min="2" max="2" width="79.57421875" style="2" customWidth="1"/>
    <col min="3" max="3" width="17.8515625" style="2" bestFit="1" customWidth="1"/>
    <col min="4" max="4" width="12.7109375" style="2" customWidth="1"/>
    <col min="5" max="5" width="2.8515625" style="2" customWidth="1"/>
    <col min="6" max="6" width="2.00390625" style="2" customWidth="1"/>
    <col min="7" max="7" width="42.7109375" style="2" customWidth="1"/>
    <col min="8" max="8" width="16.00390625" style="2" customWidth="1"/>
    <col min="9" max="9" width="3.421875" style="2" customWidth="1"/>
    <col min="10" max="10" width="15.140625" style="2" customWidth="1"/>
    <col min="11" max="16384" width="9.140625" style="2" customWidth="1"/>
  </cols>
  <sheetData>
    <row r="1" spans="2:14" ht="13.5" thickBot="1">
      <c r="B1" s="348" t="str">
        <f>CONCATENATE("CÁLCULO - FATURAMENTO ",Eólica!C4)</f>
        <v>CÁLCULO - FATURAMENTO </v>
      </c>
      <c r="C1" s="349"/>
      <c r="D1" s="350"/>
      <c r="E1" s="351">
        <f>Eólica!B1</f>
        <v>0</v>
      </c>
      <c r="F1" s="352"/>
      <c r="G1" s="353"/>
      <c r="H1" s="261"/>
      <c r="I1" s="261"/>
      <c r="J1" s="261"/>
      <c r="K1" s="261"/>
      <c r="L1" s="240"/>
      <c r="M1" s="240"/>
      <c r="N1" s="240"/>
    </row>
    <row r="2" spans="2:14" ht="13.5" thickBot="1">
      <c r="B2" s="13"/>
      <c r="C2" s="13"/>
      <c r="D2" s="13"/>
      <c r="E2" s="261"/>
      <c r="F2" s="293"/>
      <c r="G2" s="295" t="s">
        <v>17</v>
      </c>
      <c r="H2" s="295">
        <f aca="true" t="shared" si="0" ref="H2:H13">IF($C$4=G2,1,0)</f>
        <v>0</v>
      </c>
      <c r="I2" s="295">
        <v>1</v>
      </c>
      <c r="J2" s="295">
        <f aca="true" t="shared" si="1" ref="J2:J13">H2*I2</f>
        <v>0</v>
      </c>
      <c r="K2" s="295"/>
      <c r="L2" s="293"/>
      <c r="M2" s="240"/>
      <c r="N2" s="240"/>
    </row>
    <row r="3" spans="1:14" ht="14.25" thickBot="1" thickTop="1">
      <c r="A3" s="14"/>
      <c r="B3" s="15"/>
      <c r="C3" s="15"/>
      <c r="D3" s="16"/>
      <c r="E3" s="261"/>
      <c r="F3" s="293"/>
      <c r="G3" s="295" t="s">
        <v>18</v>
      </c>
      <c r="H3" s="295">
        <f t="shared" si="0"/>
        <v>0</v>
      </c>
      <c r="I3" s="295">
        <v>2</v>
      </c>
      <c r="J3" s="295">
        <f t="shared" si="1"/>
        <v>0</v>
      </c>
      <c r="K3" s="295"/>
      <c r="L3" s="293"/>
      <c r="M3" s="240"/>
      <c r="N3" s="240"/>
    </row>
    <row r="4" spans="2:14" ht="13.5" thickBot="1">
      <c r="B4" s="17" t="s">
        <v>29</v>
      </c>
      <c r="C4" s="18" t="s">
        <v>21</v>
      </c>
      <c r="D4" s="14"/>
      <c r="E4" s="261"/>
      <c r="F4" s="293"/>
      <c r="G4" s="295" t="s">
        <v>19</v>
      </c>
      <c r="H4" s="295">
        <f t="shared" si="0"/>
        <v>0</v>
      </c>
      <c r="I4" s="295">
        <v>3</v>
      </c>
      <c r="J4" s="295">
        <f t="shared" si="1"/>
        <v>0</v>
      </c>
      <c r="K4" s="295"/>
      <c r="L4" s="293"/>
      <c r="M4" s="240"/>
      <c r="N4" s="240"/>
    </row>
    <row r="5" spans="2:14" ht="14.25" customHeight="1" thickBot="1">
      <c r="B5" s="19"/>
      <c r="C5" s="15"/>
      <c r="D5" s="14"/>
      <c r="E5" s="261"/>
      <c r="F5" s="293"/>
      <c r="G5" s="295" t="s">
        <v>20</v>
      </c>
      <c r="H5" s="295">
        <f t="shared" si="0"/>
        <v>0</v>
      </c>
      <c r="I5" s="295">
        <v>4</v>
      </c>
      <c r="J5" s="295">
        <f t="shared" si="1"/>
        <v>0</v>
      </c>
      <c r="K5" s="295"/>
      <c r="L5" s="293"/>
      <c r="M5" s="240"/>
      <c r="N5" s="240"/>
    </row>
    <row r="6" spans="2:14" ht="16.5" customHeight="1" thickBot="1">
      <c r="B6" s="262" t="str">
        <f>CONCATENATE("Energia Contratada para ",Eólica!C4," (MWh/ano):")</f>
        <v>Energia Contratada para  (MWh/ano):</v>
      </c>
      <c r="C6" s="20">
        <f>Eólica!C8</f>
        <v>0</v>
      </c>
      <c r="D6" s="14" t="s">
        <v>112</v>
      </c>
      <c r="E6" s="261"/>
      <c r="F6" s="293"/>
      <c r="G6" s="295" t="s">
        <v>21</v>
      </c>
      <c r="H6" s="295">
        <f t="shared" si="0"/>
        <v>1</v>
      </c>
      <c r="I6" s="295">
        <v>5</v>
      </c>
      <c r="J6" s="295">
        <f t="shared" si="1"/>
        <v>5</v>
      </c>
      <c r="K6" s="295"/>
      <c r="L6" s="293"/>
      <c r="M6" s="240"/>
      <c r="N6" s="240"/>
    </row>
    <row r="7" spans="2:14" ht="13.5" thickBot="1">
      <c r="B7" s="262" t="str">
        <f>CONCATENATE("Ajuste financeiro Referente a ",Eólica!C4-1," (R$/mês):")</f>
        <v>Ajuste financeiro Referente a -1 (R$/mês):</v>
      </c>
      <c r="C7" s="21">
        <f>VLOOKUP($J$14,Eólica!A35:J46,4)</f>
        <v>0</v>
      </c>
      <c r="D7" s="14" t="s">
        <v>113</v>
      </c>
      <c r="E7" s="261"/>
      <c r="F7" s="293"/>
      <c r="G7" s="295" t="s">
        <v>22</v>
      </c>
      <c r="H7" s="295">
        <f t="shared" si="0"/>
        <v>0</v>
      </c>
      <c r="I7" s="295">
        <v>6</v>
      </c>
      <c r="J7" s="295">
        <f t="shared" si="1"/>
        <v>0</v>
      </c>
      <c r="K7" s="295"/>
      <c r="L7" s="293"/>
      <c r="M7" s="240"/>
      <c r="N7" s="240"/>
    </row>
    <row r="8" spans="2:14" ht="16.5" customHeight="1" thickBot="1">
      <c r="B8" s="264" t="str">
        <f>Eólica!B15</f>
        <v>Entrar ano de cálculo</v>
      </c>
      <c r="C8" s="21">
        <f>VLOOKUP($J$14,Eólica!A35:J46,5)</f>
        <v>0</v>
      </c>
      <c r="D8" s="14" t="s">
        <v>113</v>
      </c>
      <c r="E8" s="261"/>
      <c r="F8" s="293"/>
      <c r="G8" s="295" t="s">
        <v>23</v>
      </c>
      <c r="H8" s="295">
        <f t="shared" si="0"/>
        <v>0</v>
      </c>
      <c r="I8" s="295">
        <v>7</v>
      </c>
      <c r="J8" s="295">
        <f t="shared" si="1"/>
        <v>0</v>
      </c>
      <c r="K8" s="295"/>
      <c r="L8" s="293"/>
      <c r="M8" s="240"/>
      <c r="N8" s="240"/>
    </row>
    <row r="9" spans="2:14" ht="13.5" thickBot="1">
      <c r="B9" s="262" t="str">
        <f>Eólica!D30</f>
        <v>Valor Garantido pela ELETROBRÁS (cl. 14 § 14 CCVE)</v>
      </c>
      <c r="C9" s="21">
        <f>VLOOKUP($J$14,Eólica!A35:J46,7)</f>
        <v>0</v>
      </c>
      <c r="D9" s="241" t="s">
        <v>113</v>
      </c>
      <c r="E9" s="261"/>
      <c r="F9" s="293"/>
      <c r="G9" s="295" t="s">
        <v>24</v>
      </c>
      <c r="H9" s="295">
        <f t="shared" si="0"/>
        <v>0</v>
      </c>
      <c r="I9" s="295">
        <v>8</v>
      </c>
      <c r="J9" s="295">
        <f t="shared" si="1"/>
        <v>0</v>
      </c>
      <c r="K9" s="295"/>
      <c r="L9" s="293"/>
      <c r="M9" s="240"/>
      <c r="N9" s="240"/>
    </row>
    <row r="10" spans="1:14" ht="16.5" customHeight="1" thickBot="1">
      <c r="A10" s="14"/>
      <c r="B10" s="262" t="s">
        <v>124</v>
      </c>
      <c r="C10" s="21">
        <f>VLOOKUP($J$14,Eólica!A35:J46,6)</f>
        <v>0</v>
      </c>
      <c r="D10" s="2" t="s">
        <v>113</v>
      </c>
      <c r="E10" s="263"/>
      <c r="F10" s="293"/>
      <c r="G10" s="295" t="s">
        <v>25</v>
      </c>
      <c r="H10" s="295">
        <f t="shared" si="0"/>
        <v>0</v>
      </c>
      <c r="I10" s="295">
        <v>9</v>
      </c>
      <c r="J10" s="295">
        <f t="shared" si="1"/>
        <v>0</v>
      </c>
      <c r="K10" s="295"/>
      <c r="L10" s="293"/>
      <c r="M10" s="240"/>
      <c r="N10" s="240"/>
    </row>
    <row r="11" spans="2:14" ht="13.5" thickBot="1">
      <c r="B11" s="17" t="s">
        <v>30</v>
      </c>
      <c r="C11" s="21">
        <f>IF(J14&lt;Eólica!D5,Eólica!G25,Eólica!G26)</f>
        <v>0</v>
      </c>
      <c r="D11" s="241" t="s">
        <v>113</v>
      </c>
      <c r="E11" s="261"/>
      <c r="F11" s="293"/>
      <c r="G11" s="295" t="s">
        <v>26</v>
      </c>
      <c r="H11" s="295">
        <f t="shared" si="0"/>
        <v>0</v>
      </c>
      <c r="I11" s="295">
        <v>10</v>
      </c>
      <c r="J11" s="295">
        <f t="shared" si="1"/>
        <v>0</v>
      </c>
      <c r="K11" s="295"/>
      <c r="L11" s="293"/>
      <c r="M11" s="240"/>
      <c r="N11" s="240"/>
    </row>
    <row r="12" spans="2:14" ht="18" customHeight="1" thickBot="1" thickTop="1">
      <c r="B12" s="242"/>
      <c r="C12" s="24"/>
      <c r="D12" s="27"/>
      <c r="E12" s="261"/>
      <c r="F12" s="293"/>
      <c r="G12" s="295" t="s">
        <v>27</v>
      </c>
      <c r="H12" s="295">
        <f t="shared" si="0"/>
        <v>0</v>
      </c>
      <c r="I12" s="295">
        <v>11</v>
      </c>
      <c r="J12" s="295">
        <f t="shared" si="1"/>
        <v>0</v>
      </c>
      <c r="K12" s="295"/>
      <c r="L12" s="293"/>
      <c r="M12" s="240"/>
      <c r="N12" s="240"/>
    </row>
    <row r="13" spans="2:14" ht="14.25" thickBot="1" thickTop="1">
      <c r="B13" s="246" t="s">
        <v>31</v>
      </c>
      <c r="C13" s="20">
        <f>ROUND(C6/12,3)</f>
        <v>0</v>
      </c>
      <c r="D13" s="245"/>
      <c r="E13" s="263"/>
      <c r="F13" s="293"/>
      <c r="G13" s="295" t="s">
        <v>28</v>
      </c>
      <c r="H13" s="295">
        <f t="shared" si="0"/>
        <v>0</v>
      </c>
      <c r="I13" s="295">
        <v>12</v>
      </c>
      <c r="J13" s="295">
        <f t="shared" si="1"/>
        <v>0</v>
      </c>
      <c r="K13" s="295"/>
      <c r="L13" s="293"/>
      <c r="M13" s="240"/>
      <c r="N13" s="240"/>
    </row>
    <row r="14" spans="2:14" ht="14.25" thickBot="1" thickTop="1">
      <c r="B14" s="26"/>
      <c r="C14" s="267"/>
      <c r="D14" s="14"/>
      <c r="E14" s="4"/>
      <c r="F14" s="293"/>
      <c r="G14" s="295"/>
      <c r="H14" s="295"/>
      <c r="I14" s="295"/>
      <c r="J14" s="295">
        <f>SUM(J2:J13)</f>
        <v>5</v>
      </c>
      <c r="K14" s="295"/>
      <c r="L14" s="293"/>
      <c r="M14" s="240"/>
      <c r="N14" s="240"/>
    </row>
    <row r="15" spans="2:14" ht="14.25" thickBot="1" thickTop="1">
      <c r="B15" s="246" t="str">
        <f>B7</f>
        <v>Ajuste financeiro Referente a -1 (R$/mês):</v>
      </c>
      <c r="C15" s="266">
        <f>C7</f>
        <v>0</v>
      </c>
      <c r="D15" s="245"/>
      <c r="E15" s="285">
        <f>IF((C15+C17)&lt;0,1,0)</f>
        <v>0</v>
      </c>
      <c r="F15" s="4">
        <f>(C15+C17)*E15</f>
        <v>0</v>
      </c>
      <c r="G15" s="251" t="s">
        <v>115</v>
      </c>
      <c r="H15" s="252"/>
      <c r="I15" s="29"/>
      <c r="J15" s="269" t="s">
        <v>127</v>
      </c>
      <c r="K15" s="240"/>
      <c r="L15" s="240"/>
      <c r="M15" s="240"/>
      <c r="N15" s="240"/>
    </row>
    <row r="16" spans="1:14" ht="14.25" thickBot="1" thickTop="1">
      <c r="A16" s="14"/>
      <c r="B16" s="28"/>
      <c r="C16" s="267"/>
      <c r="D16" s="14"/>
      <c r="E16" s="4"/>
      <c r="F16" s="4"/>
      <c r="G16" s="253" t="s">
        <v>116</v>
      </c>
      <c r="H16" s="254">
        <f>ROUND(J16*$C$11,2)</f>
        <v>0</v>
      </c>
      <c r="I16" s="29"/>
      <c r="J16" s="270">
        <f>ROUND(C13*0.3333,3)</f>
        <v>0</v>
      </c>
      <c r="K16" s="240"/>
      <c r="L16" s="240"/>
      <c r="M16" s="240"/>
      <c r="N16" s="240"/>
    </row>
    <row r="17" spans="2:14" ht="14.25" thickBot="1" thickTop="1">
      <c r="B17" s="243" t="s">
        <v>123</v>
      </c>
      <c r="C17" s="266">
        <f>C8</f>
        <v>0</v>
      </c>
      <c r="D17" s="244"/>
      <c r="E17" s="285"/>
      <c r="F17" s="4"/>
      <c r="G17" s="253" t="s">
        <v>117</v>
      </c>
      <c r="H17" s="254">
        <f>ROUND(J17*$C$11,2)</f>
        <v>0</v>
      </c>
      <c r="I17" s="4"/>
      <c r="J17" s="270">
        <f>ROUND(C13*0.3333,3)</f>
        <v>0</v>
      </c>
      <c r="K17" s="240"/>
      <c r="L17" s="240"/>
      <c r="M17" s="240"/>
      <c r="N17" s="240"/>
    </row>
    <row r="18" spans="1:14" ht="14.25" thickBot="1" thickTop="1">
      <c r="A18" s="14"/>
      <c r="B18" s="26"/>
      <c r="C18" s="267"/>
      <c r="D18" s="27"/>
      <c r="E18" s="4"/>
      <c r="F18" s="4"/>
      <c r="G18" s="255" t="s">
        <v>118</v>
      </c>
      <c r="H18" s="254">
        <f>ROUND(J18*$C$11,2)</f>
        <v>0</v>
      </c>
      <c r="I18" s="4"/>
      <c r="J18" s="271">
        <f>C13-(J16+J17)</f>
        <v>0</v>
      </c>
      <c r="K18" s="240"/>
      <c r="L18" s="240"/>
      <c r="M18" s="240"/>
      <c r="N18" s="240"/>
    </row>
    <row r="19" spans="2:14" ht="14.25" thickBot="1" thickTop="1">
      <c r="B19" s="243" t="s">
        <v>114</v>
      </c>
      <c r="C19" s="266">
        <f>$C$9</f>
        <v>0</v>
      </c>
      <c r="D19" s="245"/>
      <c r="E19" s="285"/>
      <c r="F19" s="4"/>
      <c r="G19" s="251" t="s">
        <v>137</v>
      </c>
      <c r="H19" s="252"/>
      <c r="I19" s="4"/>
      <c r="J19" s="4"/>
      <c r="K19" s="240"/>
      <c r="L19" s="240"/>
      <c r="M19" s="240"/>
      <c r="N19" s="240"/>
    </row>
    <row r="20" spans="1:14" ht="14.25" thickBot="1" thickTop="1">
      <c r="A20" s="14"/>
      <c r="B20" s="30" t="str">
        <f>IF(C20=0," ","Correção do faturamento de Janeiro e fevereiro (R$)")</f>
        <v> </v>
      </c>
      <c r="C20" s="268">
        <f>VLOOKUP(C4,Eólica!B34:J46,8,FALSE)</f>
        <v>0</v>
      </c>
      <c r="D20" s="14"/>
      <c r="E20" s="4"/>
      <c r="F20" s="4"/>
      <c r="G20" s="253" t="s">
        <v>116</v>
      </c>
      <c r="H20" s="254">
        <f>ROUND($C$15/3,2)</f>
        <v>0</v>
      </c>
      <c r="I20" s="4"/>
      <c r="J20" s="4"/>
      <c r="K20" s="240"/>
      <c r="L20" s="240"/>
      <c r="M20" s="240"/>
      <c r="N20" s="240"/>
    </row>
    <row r="21" spans="2:14" ht="14.25" thickBot="1" thickTop="1">
      <c r="B21" s="30" t="s">
        <v>135</v>
      </c>
      <c r="C21" s="266">
        <f>C10</f>
        <v>0</v>
      </c>
      <c r="D21" s="16"/>
      <c r="E21" s="285">
        <f>IF(C21&lt;0,1,0)</f>
        <v>0</v>
      </c>
      <c r="F21" s="286">
        <f>C21*E21</f>
        <v>0</v>
      </c>
      <c r="G21" s="253" t="s">
        <v>117</v>
      </c>
      <c r="H21" s="254">
        <f>$H$20</f>
        <v>0</v>
      </c>
      <c r="I21" s="4"/>
      <c r="J21" s="4"/>
      <c r="K21" s="240"/>
      <c r="L21" s="240"/>
      <c r="M21" s="240"/>
      <c r="N21" s="240"/>
    </row>
    <row r="22" spans="2:14" ht="14.25" thickBot="1" thickTop="1">
      <c r="B22" s="26" t="s">
        <v>141</v>
      </c>
      <c r="C22" s="296">
        <f>VLOOKUP(C4,Eólica!B34:J46,7,FALSE)</f>
        <v>0</v>
      </c>
      <c r="D22" s="27"/>
      <c r="E22" s="285"/>
      <c r="F22" s="4"/>
      <c r="G22" s="255" t="s">
        <v>118</v>
      </c>
      <c r="H22" s="256">
        <f>ROUND(($C$15)-($H$20+$H$21),2)</f>
        <v>0</v>
      </c>
      <c r="I22" s="4"/>
      <c r="J22" s="4"/>
      <c r="K22" s="240"/>
      <c r="L22" s="240"/>
      <c r="M22" s="240"/>
      <c r="N22" s="240"/>
    </row>
    <row r="23" spans="2:14" ht="14.25" thickBot="1" thickTop="1">
      <c r="B23" s="265" t="s">
        <v>32</v>
      </c>
      <c r="C23" s="268">
        <f>VLOOKUP(C4,Eólica!B34:J46,9,FALSE)</f>
        <v>0</v>
      </c>
      <c r="D23" s="27"/>
      <c r="E23" s="261"/>
      <c r="F23" s="261"/>
      <c r="G23" s="251" t="s">
        <v>119</v>
      </c>
      <c r="H23" s="252"/>
      <c r="I23" s="4"/>
      <c r="J23" s="4"/>
      <c r="K23" s="240"/>
      <c r="L23" s="240"/>
      <c r="M23" s="240"/>
      <c r="N23" s="240"/>
    </row>
    <row r="24" spans="1:14" ht="14.25" thickBot="1" thickTop="1">
      <c r="A24" s="14"/>
      <c r="B24" s="25"/>
      <c r="C24" s="25"/>
      <c r="D24" s="27"/>
      <c r="E24" s="261"/>
      <c r="F24" s="261"/>
      <c r="G24" s="253" t="s">
        <v>116</v>
      </c>
      <c r="H24" s="254">
        <f>ROUND($C$17/3,2)</f>
        <v>0</v>
      </c>
      <c r="I24" s="4"/>
      <c r="J24" s="4"/>
      <c r="K24" s="240"/>
      <c r="L24" s="240"/>
      <c r="M24" s="240"/>
      <c r="N24" s="240"/>
    </row>
    <row r="25" spans="2:14" ht="14.25" thickBot="1" thickTop="1">
      <c r="B25" s="30" t="s">
        <v>33</v>
      </c>
      <c r="C25" s="31"/>
      <c r="D25" s="16"/>
      <c r="E25" s="261"/>
      <c r="F25" s="261"/>
      <c r="G25" s="253" t="s">
        <v>117</v>
      </c>
      <c r="H25" s="254">
        <f>$H$24</f>
        <v>0</v>
      </c>
      <c r="I25" s="4"/>
      <c r="J25" s="4"/>
      <c r="K25" s="240"/>
      <c r="L25" s="240"/>
      <c r="M25" s="240"/>
      <c r="N25" s="240"/>
    </row>
    <row r="26" spans="2:14" ht="15" thickBot="1" thickTop="1">
      <c r="B26" s="30" t="s">
        <v>40</v>
      </c>
      <c r="C26" s="248">
        <f>IF(C23&lt;0,0,TRUNC(C23/3,2))</f>
        <v>0</v>
      </c>
      <c r="D26" s="16"/>
      <c r="E26" s="261"/>
      <c r="F26" s="261"/>
      <c r="G26" s="255" t="s">
        <v>118</v>
      </c>
      <c r="H26" s="256">
        <f>ROUND(($C$17)-($H$24+$H$25),2)</f>
        <v>0</v>
      </c>
      <c r="I26" s="4"/>
      <c r="J26" s="4"/>
      <c r="K26" s="240"/>
      <c r="L26" s="240"/>
      <c r="M26" s="240"/>
      <c r="N26" s="240"/>
    </row>
    <row r="27" spans="2:14" ht="13.5">
      <c r="B27" s="17" t="s">
        <v>41</v>
      </c>
      <c r="C27" s="32">
        <f>IF(C23&lt;0,0,TRUNC(C23/3,2))</f>
        <v>0</v>
      </c>
      <c r="D27" s="14"/>
      <c r="E27" s="261"/>
      <c r="F27" s="261"/>
      <c r="G27" s="251" t="s">
        <v>120</v>
      </c>
      <c r="H27" s="252"/>
      <c r="I27" s="4"/>
      <c r="J27" s="4"/>
      <c r="K27" s="240"/>
      <c r="L27" s="240"/>
      <c r="M27" s="240"/>
      <c r="N27" s="240"/>
    </row>
    <row r="28" spans="2:14" ht="14.25" thickBot="1">
      <c r="B28" s="22" t="s">
        <v>42</v>
      </c>
      <c r="C28" s="33">
        <f>IF(C23&lt;0,0,ROUND(C23-(C26+C27),2))</f>
        <v>0</v>
      </c>
      <c r="D28" s="23"/>
      <c r="E28" s="261"/>
      <c r="F28" s="261"/>
      <c r="G28" s="253" t="s">
        <v>116</v>
      </c>
      <c r="H28" s="254">
        <f>ROUND($C$19/3,2)</f>
        <v>0</v>
      </c>
      <c r="I28" s="4"/>
      <c r="J28" s="4"/>
      <c r="K28" s="240"/>
      <c r="L28" s="240"/>
      <c r="M28" s="240"/>
      <c r="N28" s="240"/>
    </row>
    <row r="29" spans="1:14" ht="14.25" thickBot="1" thickTop="1">
      <c r="A29" s="14"/>
      <c r="B29" s="25"/>
      <c r="C29" s="25"/>
      <c r="D29" s="27"/>
      <c r="E29" s="261"/>
      <c r="F29" s="261"/>
      <c r="G29" s="253" t="s">
        <v>117</v>
      </c>
      <c r="H29" s="254">
        <f>$H$28</f>
        <v>0</v>
      </c>
      <c r="I29" s="4"/>
      <c r="J29" s="4"/>
      <c r="K29" s="240"/>
      <c r="L29" s="240"/>
      <c r="M29" s="240"/>
      <c r="N29" s="240"/>
    </row>
    <row r="30" spans="2:14" ht="14.25" thickBot="1" thickTop="1">
      <c r="B30" s="30" t="s">
        <v>34</v>
      </c>
      <c r="C30" s="247"/>
      <c r="D30" s="27"/>
      <c r="E30" s="287"/>
      <c r="F30" s="261"/>
      <c r="G30" s="255" t="s">
        <v>118</v>
      </c>
      <c r="H30" s="256">
        <f>ROUND(($C$19)-($H$28+$H$29),2)</f>
        <v>0</v>
      </c>
      <c r="I30" s="4"/>
      <c r="J30" s="4"/>
      <c r="K30" s="240"/>
      <c r="L30" s="240"/>
      <c r="M30" s="240"/>
      <c r="N30" s="240"/>
    </row>
    <row r="31" spans="2:14" ht="14.25" thickTop="1">
      <c r="B31" s="30" t="s">
        <v>43</v>
      </c>
      <c r="C31" s="248">
        <f>C26*(1-0.0585)</f>
        <v>0</v>
      </c>
      <c r="D31" s="16"/>
      <c r="E31" s="287"/>
      <c r="F31" s="261"/>
      <c r="G31" s="251" t="s">
        <v>136</v>
      </c>
      <c r="H31" s="252"/>
      <c r="I31" s="4"/>
      <c r="J31" s="4"/>
      <c r="K31" s="240"/>
      <c r="L31" s="240"/>
      <c r="M31" s="240"/>
      <c r="N31" s="240"/>
    </row>
    <row r="32" spans="2:14" ht="13.5">
      <c r="B32" s="17" t="s">
        <v>41</v>
      </c>
      <c r="C32" s="32">
        <f>C27*(1-0.0585)</f>
        <v>0</v>
      </c>
      <c r="D32" s="14"/>
      <c r="E32" s="287"/>
      <c r="F32" s="261"/>
      <c r="G32" s="253" t="s">
        <v>116</v>
      </c>
      <c r="H32" s="254">
        <f>ROUND($C$21/3,2)</f>
        <v>0</v>
      </c>
      <c r="I32" s="4"/>
      <c r="J32" s="4"/>
      <c r="K32" s="240"/>
      <c r="L32" s="240"/>
      <c r="M32" s="240"/>
      <c r="N32" s="240"/>
    </row>
    <row r="33" spans="2:14" ht="14.25" thickBot="1">
      <c r="B33" s="22" t="s">
        <v>42</v>
      </c>
      <c r="C33" s="33">
        <f>C28*(1-0.0585)</f>
        <v>0</v>
      </c>
      <c r="D33" s="23"/>
      <c r="E33" s="15"/>
      <c r="G33" s="253" t="s">
        <v>117</v>
      </c>
      <c r="H33" s="254">
        <f>$H$32</f>
        <v>0</v>
      </c>
      <c r="L33" s="240"/>
      <c r="M33" s="240"/>
      <c r="N33" s="240"/>
    </row>
    <row r="34" spans="2:14" ht="14.25" thickBot="1" thickTop="1">
      <c r="B34" s="272" t="s">
        <v>128</v>
      </c>
      <c r="C34" s="272" t="s">
        <v>129</v>
      </c>
      <c r="D34" s="273" t="s">
        <v>127</v>
      </c>
      <c r="G34" s="255" t="s">
        <v>118</v>
      </c>
      <c r="H34" s="256">
        <f>ROUND(($C$21)-($H$32+$H$33),2)</f>
        <v>0</v>
      </c>
      <c r="L34" s="240"/>
      <c r="M34" s="240"/>
      <c r="N34" s="240"/>
    </row>
    <row r="35" spans="2:8" ht="14.25" thickBot="1" thickTop="1">
      <c r="B35" s="274" t="s">
        <v>130</v>
      </c>
      <c r="C35" s="275">
        <f>SUM(F14:F21)</f>
        <v>0</v>
      </c>
      <c r="D35" s="276" t="s">
        <v>131</v>
      </c>
      <c r="G35" s="261"/>
      <c r="H35" s="261"/>
    </row>
    <row r="36" spans="2:8" ht="14.25" thickBot="1" thickTop="1">
      <c r="B36" s="19" t="s">
        <v>132</v>
      </c>
      <c r="C36" s="277">
        <f>ROUND(C13*C11,2)</f>
        <v>0</v>
      </c>
      <c r="D36" s="278">
        <f>C13</f>
        <v>0</v>
      </c>
      <c r="G36" s="284"/>
      <c r="H36" s="261"/>
    </row>
    <row r="37" spans="2:8" ht="14.25" thickBot="1" thickTop="1">
      <c r="B37" s="279" t="s">
        <v>133</v>
      </c>
      <c r="C37" s="280">
        <f>IF((C15+C17)&lt;0,0,C15+C17)</f>
        <v>0</v>
      </c>
      <c r="D37" s="281" t="s">
        <v>131</v>
      </c>
      <c r="G37" s="284"/>
      <c r="H37" s="261"/>
    </row>
    <row r="38" spans="2:8" ht="14.25" thickBot="1" thickTop="1">
      <c r="B38" s="282" t="s">
        <v>134</v>
      </c>
      <c r="C38" s="277">
        <f>C19</f>
        <v>0</v>
      </c>
      <c r="D38" s="283" t="s">
        <v>131</v>
      </c>
      <c r="G38" s="284"/>
      <c r="H38" s="261"/>
    </row>
    <row r="39" spans="7:8" ht="13.5" thickTop="1">
      <c r="G39" s="261"/>
      <c r="H39" s="261"/>
    </row>
  </sheetData>
  <sheetProtection password="8147" sheet="1" selectLockedCells="1"/>
  <protectedRanges>
    <protectedRange sqref="C11 C6:C9" name="Intervalo1"/>
  </protectedRanges>
  <mergeCells count="2">
    <mergeCell ref="B1:D1"/>
    <mergeCell ref="E1:G1"/>
  </mergeCells>
  <conditionalFormatting sqref="C20">
    <cfRule type="cellIs" priority="2" dxfId="0" operator="lessThan" stopIfTrue="1">
      <formula>0</formula>
    </cfRule>
  </conditionalFormatting>
  <conditionalFormatting sqref="C23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C4">
      <formula1>$G$4:$G$13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&amp;L
&amp;CDIRETORIA DE PLANEJAMENTO E ENGENHARIA - DE
SUPERINTENDÊNCIA DE COMERCIALIZAÇÃO - EC
DEPARTAMENTO DE COMERCIALIZAÇÃO DE ENERGIA - ECC
DIVISÃO DE CONTABILIZAÇÃO DE COMERCIALIZAÇÃO - ECCC
</oddHeader>
    <oddFooter>&amp;LMaterial de apoio da ECCG, para produção dos Pedidos de 
Compra de Energia Elétrica do PROINFA 
Produzido por : ECCC.&amp;C&amp;Z&amp;F
&amp;F&amp;R&amp;D
&amp;T</oddFooter>
  </headerFooter>
  <ignoredErrors>
    <ignoredError sqref="H24:H25 H27:H3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V303"/>
  <sheetViews>
    <sheetView zoomScalePageLayoutView="0" workbookViewId="0" topLeftCell="A1">
      <pane ySplit="3" topLeftCell="A137" activePane="bottomLeft" state="frozen"/>
      <selection pane="topLeft" activeCell="C15" sqref="C15"/>
      <selection pane="bottomLeft" activeCell="D157" sqref="D157"/>
    </sheetView>
  </sheetViews>
  <sheetFormatPr defaultColWidth="9.140625" defaultRowHeight="12.75"/>
  <cols>
    <col min="1" max="2" width="9.140625" style="35" customWidth="1"/>
    <col min="3" max="3" width="12.00390625" style="36" bestFit="1" customWidth="1"/>
    <col min="4" max="4" width="12.00390625" style="35" bestFit="1" customWidth="1"/>
    <col min="5" max="6" width="0" style="36" hidden="1" customWidth="1"/>
    <col min="7" max="7" width="37.28125" style="37" bestFit="1" customWidth="1"/>
    <col min="8" max="8" width="9.28125" style="37" customWidth="1"/>
    <col min="9" max="9" width="13.57421875" style="37" bestFit="1" customWidth="1"/>
    <col min="10" max="10" width="13.57421875" style="37" customWidth="1"/>
    <col min="11" max="11" width="13.140625" style="38" bestFit="1" customWidth="1"/>
    <col min="12" max="12" width="10.8515625" style="38" bestFit="1" customWidth="1"/>
    <col min="13" max="13" width="14.00390625" style="38" bestFit="1" customWidth="1"/>
    <col min="14" max="14" width="10.8515625" style="37" customWidth="1"/>
    <col min="15" max="17" width="10.8515625" style="37" bestFit="1" customWidth="1"/>
    <col min="18" max="22" width="9.140625" style="37" customWidth="1"/>
    <col min="23" max="16384" width="9.140625" style="36" customWidth="1"/>
  </cols>
  <sheetData>
    <row r="1" ht="12.75">
      <c r="A1" s="34"/>
    </row>
    <row r="2" spans="1:17" ht="12.75">
      <c r="A2" s="354" t="s">
        <v>35</v>
      </c>
      <c r="B2" s="354"/>
      <c r="C2" s="354"/>
      <c r="D2" s="354"/>
      <c r="E2" s="354"/>
      <c r="F2" s="354"/>
      <c r="H2" s="355"/>
      <c r="I2" s="355"/>
      <c r="J2" s="355"/>
      <c r="K2" s="355"/>
      <c r="L2" s="355"/>
      <c r="M2" s="355"/>
      <c r="N2" s="355"/>
      <c r="O2" s="355"/>
      <c r="P2" s="355"/>
      <c r="Q2" s="355"/>
    </row>
    <row r="3" spans="1:17" ht="12.75">
      <c r="A3" s="40" t="s">
        <v>3</v>
      </c>
      <c r="B3" s="40" t="s">
        <v>4</v>
      </c>
      <c r="C3" s="41" t="s">
        <v>36</v>
      </c>
      <c r="D3" s="41" t="s">
        <v>37</v>
      </c>
      <c r="E3" s="42" t="s">
        <v>38</v>
      </c>
      <c r="F3" s="42" t="s">
        <v>39</v>
      </c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7" ht="12.75">
      <c r="A4" s="43">
        <f aca="true" t="shared" si="0" ref="A4:A67">MONTH(C4)</f>
        <v>2</v>
      </c>
      <c r="B4" s="44">
        <f aca="true" t="shared" si="1" ref="B4:B67">YEAR(C4)</f>
        <v>2004</v>
      </c>
      <c r="C4" s="45">
        <v>38018</v>
      </c>
      <c r="D4" s="249">
        <f>'[1]IGP-M'!D4</f>
        <v>299.097</v>
      </c>
      <c r="E4" s="46"/>
      <c r="F4" s="46"/>
      <c r="H4" s="47"/>
      <c r="I4" s="39"/>
      <c r="J4" s="39"/>
      <c r="K4" s="48"/>
      <c r="L4" s="49"/>
      <c r="M4" s="49"/>
      <c r="N4" s="39"/>
      <c r="O4" s="39"/>
      <c r="P4" s="39"/>
      <c r="Q4" s="39"/>
    </row>
    <row r="5" spans="1:17" ht="12.75">
      <c r="A5" s="50">
        <f t="shared" si="0"/>
        <v>3</v>
      </c>
      <c r="B5" s="51">
        <f t="shared" si="1"/>
        <v>2004</v>
      </c>
      <c r="C5" s="52">
        <v>38047</v>
      </c>
      <c r="D5" s="250">
        <f>'[1]IGP-M'!D5</f>
        <v>302.484</v>
      </c>
      <c r="E5" s="53">
        <f aca="true" t="shared" si="2" ref="E5:E68">(D5/D4)-1</f>
        <v>0.011324085497347092</v>
      </c>
      <c r="F5" s="53">
        <f aca="true" t="shared" si="3" ref="F5:F68">(D5/$D$4)-1</f>
        <v>0.011324085497347092</v>
      </c>
      <c r="H5" s="54"/>
      <c r="I5" s="55"/>
      <c r="J5" s="55"/>
      <c r="K5" s="56"/>
      <c r="L5" s="56"/>
      <c r="M5" s="56"/>
      <c r="N5" s="57"/>
      <c r="O5" s="57"/>
      <c r="P5" s="57"/>
      <c r="Q5" s="57"/>
    </row>
    <row r="6" spans="1:17" ht="12.75">
      <c r="A6" s="43">
        <f t="shared" si="0"/>
        <v>4</v>
      </c>
      <c r="B6" s="44">
        <f t="shared" si="1"/>
        <v>2004</v>
      </c>
      <c r="C6" s="45">
        <v>38078</v>
      </c>
      <c r="D6" s="249">
        <f>'[1]IGP-M'!D6</f>
        <v>306.151</v>
      </c>
      <c r="E6" s="46">
        <f t="shared" si="2"/>
        <v>0.012122955263749624</v>
      </c>
      <c r="F6" s="46">
        <f t="shared" si="3"/>
        <v>0.023584322142983893</v>
      </c>
      <c r="H6" s="54"/>
      <c r="I6" s="55"/>
      <c r="J6" s="55"/>
      <c r="K6" s="56"/>
      <c r="L6" s="56"/>
      <c r="M6" s="56"/>
      <c r="N6" s="57"/>
      <c r="O6" s="57"/>
      <c r="P6" s="57"/>
      <c r="Q6" s="57"/>
    </row>
    <row r="7" spans="1:17" ht="12.75">
      <c r="A7" s="50">
        <f t="shared" si="0"/>
        <v>5</v>
      </c>
      <c r="B7" s="51">
        <f t="shared" si="1"/>
        <v>2004</v>
      </c>
      <c r="C7" s="52">
        <v>38108</v>
      </c>
      <c r="D7" s="250">
        <f>'[1]IGP-M'!D7</f>
        <v>310.152</v>
      </c>
      <c r="E7" s="53">
        <f t="shared" si="2"/>
        <v>0.013068714457898256</v>
      </c>
      <c r="F7" s="53">
        <f t="shared" si="3"/>
        <v>0.03696125337265177</v>
      </c>
      <c r="H7" s="54"/>
      <c r="I7" s="55"/>
      <c r="J7" s="55"/>
      <c r="K7" s="56"/>
      <c r="L7" s="56"/>
      <c r="M7" s="56"/>
      <c r="N7" s="57"/>
      <c r="O7" s="57"/>
      <c r="P7" s="57"/>
      <c r="Q7" s="57"/>
    </row>
    <row r="8" spans="1:17" ht="12.75">
      <c r="A8" s="43">
        <f t="shared" si="0"/>
        <v>6</v>
      </c>
      <c r="B8" s="44">
        <f t="shared" si="1"/>
        <v>2004</v>
      </c>
      <c r="C8" s="45">
        <v>38139</v>
      </c>
      <c r="D8" s="249">
        <f>'[1]IGP-M'!D8</f>
        <v>314.419</v>
      </c>
      <c r="E8" s="46">
        <f t="shared" si="2"/>
        <v>0.013757770383553858</v>
      </c>
      <c r="F8" s="46">
        <f t="shared" si="3"/>
        <v>0.05122752819319487</v>
      </c>
      <c r="H8" s="54"/>
      <c r="I8" s="55"/>
      <c r="J8" s="55"/>
      <c r="K8" s="56"/>
      <c r="L8" s="56"/>
      <c r="M8" s="56"/>
      <c r="N8" s="57"/>
      <c r="O8" s="57"/>
      <c r="P8" s="57"/>
      <c r="Q8" s="57"/>
    </row>
    <row r="9" spans="1:17" ht="12.75">
      <c r="A9" s="50">
        <f t="shared" si="0"/>
        <v>7</v>
      </c>
      <c r="B9" s="51">
        <f t="shared" si="1"/>
        <v>2004</v>
      </c>
      <c r="C9" s="52">
        <v>38169</v>
      </c>
      <c r="D9" s="250">
        <f>'[1]IGP-M'!D9</f>
        <v>318.532</v>
      </c>
      <c r="E9" s="53">
        <f t="shared" si="2"/>
        <v>0.013081270533905398</v>
      </c>
      <c r="F9" s="53">
        <f t="shared" si="3"/>
        <v>0.06497891988217863</v>
      </c>
      <c r="H9" s="54"/>
      <c r="I9" s="55"/>
      <c r="J9" s="55"/>
      <c r="K9" s="56"/>
      <c r="L9" s="56"/>
      <c r="M9" s="56"/>
      <c r="N9" s="57"/>
      <c r="O9" s="57"/>
      <c r="P9" s="57"/>
      <c r="Q9" s="57"/>
    </row>
    <row r="10" spans="1:17" ht="12.75">
      <c r="A10" s="43">
        <f t="shared" si="0"/>
        <v>8</v>
      </c>
      <c r="B10" s="44">
        <f t="shared" si="1"/>
        <v>2004</v>
      </c>
      <c r="C10" s="45">
        <v>38200</v>
      </c>
      <c r="D10" s="249">
        <f>'[1]IGP-M'!D10</f>
        <v>322.412</v>
      </c>
      <c r="E10" s="46">
        <f t="shared" si="2"/>
        <v>0.01218087978601834</v>
      </c>
      <c r="F10" s="46">
        <f t="shared" si="3"/>
        <v>0.07795130007990725</v>
      </c>
      <c r="H10" s="54"/>
      <c r="I10" s="55"/>
      <c r="J10" s="55"/>
      <c r="K10" s="56"/>
      <c r="L10" s="56"/>
      <c r="M10" s="56"/>
      <c r="N10" s="57"/>
      <c r="O10" s="57"/>
      <c r="P10" s="57"/>
      <c r="Q10" s="57"/>
    </row>
    <row r="11" spans="1:17" ht="12.75">
      <c r="A11" s="50">
        <f t="shared" si="0"/>
        <v>9</v>
      </c>
      <c r="B11" s="51">
        <f t="shared" si="1"/>
        <v>2004</v>
      </c>
      <c r="C11" s="52">
        <v>38231</v>
      </c>
      <c r="D11" s="250">
        <f>'[1]IGP-M'!D11</f>
        <v>324.651</v>
      </c>
      <c r="E11" s="53">
        <f t="shared" si="2"/>
        <v>0.006944530600598187</v>
      </c>
      <c r="F11" s="53">
        <f t="shared" si="3"/>
        <v>0.08543716586926653</v>
      </c>
      <c r="H11" s="54"/>
      <c r="I11" s="55"/>
      <c r="J11" s="55"/>
      <c r="K11" s="56"/>
      <c r="L11" s="56"/>
      <c r="M11" s="56"/>
      <c r="N11" s="57"/>
      <c r="O11" s="57"/>
      <c r="P11" s="57"/>
      <c r="Q11" s="57"/>
    </row>
    <row r="12" spans="1:17" ht="12.75">
      <c r="A12" s="43">
        <f t="shared" si="0"/>
        <v>10</v>
      </c>
      <c r="B12" s="44">
        <f t="shared" si="1"/>
        <v>2004</v>
      </c>
      <c r="C12" s="45">
        <v>38261</v>
      </c>
      <c r="D12" s="249">
        <f>'[1]IGP-M'!D12</f>
        <v>325.925</v>
      </c>
      <c r="E12" s="46">
        <f t="shared" si="2"/>
        <v>0.003924214002112958</v>
      </c>
      <c r="F12" s="46">
        <f t="shared" si="3"/>
        <v>0.08969665359398471</v>
      </c>
      <c r="H12" s="54"/>
      <c r="I12" s="55"/>
      <c r="J12" s="55"/>
      <c r="K12" s="56"/>
      <c r="L12" s="56"/>
      <c r="M12" s="56"/>
      <c r="N12" s="57"/>
      <c r="O12" s="57"/>
      <c r="P12" s="57"/>
      <c r="Q12" s="57"/>
    </row>
    <row r="13" spans="1:17" ht="12.75">
      <c r="A13" s="50">
        <f t="shared" si="0"/>
        <v>11</v>
      </c>
      <c r="B13" s="51">
        <f t="shared" si="1"/>
        <v>2004</v>
      </c>
      <c r="C13" s="52">
        <v>38292</v>
      </c>
      <c r="D13" s="250">
        <f>'[1]IGP-M'!D13</f>
        <v>328.588</v>
      </c>
      <c r="E13" s="53">
        <f t="shared" si="2"/>
        <v>0.008170591393725557</v>
      </c>
      <c r="F13" s="53">
        <f t="shared" si="3"/>
        <v>0.09860011969361127</v>
      </c>
      <c r="H13" s="54"/>
      <c r="I13" s="55"/>
      <c r="J13" s="55"/>
      <c r="K13" s="56"/>
      <c r="L13" s="56"/>
      <c r="M13" s="56"/>
      <c r="N13" s="57"/>
      <c r="O13" s="57"/>
      <c r="P13" s="57"/>
      <c r="Q13" s="57"/>
    </row>
    <row r="14" spans="1:17" ht="12.75">
      <c r="A14" s="43">
        <f t="shared" si="0"/>
        <v>12</v>
      </c>
      <c r="B14" s="44">
        <f t="shared" si="1"/>
        <v>2004</v>
      </c>
      <c r="C14" s="45">
        <v>38322</v>
      </c>
      <c r="D14" s="249">
        <f>'[1]IGP-M'!D14</f>
        <v>331.005</v>
      </c>
      <c r="E14" s="46">
        <f t="shared" si="2"/>
        <v>0.0073557159725856636</v>
      </c>
      <c r="F14" s="46">
        <f t="shared" si="3"/>
        <v>0.10668111014152615</v>
      </c>
      <c r="H14" s="54"/>
      <c r="I14" s="55"/>
      <c r="J14" s="55"/>
      <c r="K14" s="56"/>
      <c r="L14" s="56"/>
      <c r="M14" s="56"/>
      <c r="N14" s="57"/>
      <c r="O14" s="57"/>
      <c r="P14" s="57"/>
      <c r="Q14" s="57"/>
    </row>
    <row r="15" spans="1:17" ht="12.75">
      <c r="A15" s="50">
        <f t="shared" si="0"/>
        <v>1</v>
      </c>
      <c r="B15" s="51">
        <f t="shared" si="1"/>
        <v>2005</v>
      </c>
      <c r="C15" s="52">
        <v>38353</v>
      </c>
      <c r="D15" s="250">
        <f>'[1]IGP-M'!D15</f>
        <v>332.298</v>
      </c>
      <c r="E15" s="53">
        <f t="shared" si="2"/>
        <v>0.003906285403543874</v>
      </c>
      <c r="F15" s="53">
        <f t="shared" si="3"/>
        <v>0.11100412240844948</v>
      </c>
      <c r="H15" s="54"/>
      <c r="I15" s="55"/>
      <c r="J15" s="55"/>
      <c r="K15" s="56"/>
      <c r="L15" s="56"/>
      <c r="M15" s="56"/>
      <c r="N15" s="57"/>
      <c r="O15" s="57"/>
      <c r="P15" s="57"/>
      <c r="Q15" s="57"/>
    </row>
    <row r="16" spans="1:17" ht="12.75">
      <c r="A16" s="43">
        <f t="shared" si="0"/>
        <v>2</v>
      </c>
      <c r="B16" s="44">
        <f t="shared" si="1"/>
        <v>2005</v>
      </c>
      <c r="C16" s="45">
        <v>38384</v>
      </c>
      <c r="D16" s="249">
        <f>'[1]IGP-M'!D16</f>
        <v>333.288</v>
      </c>
      <c r="E16" s="46">
        <f t="shared" si="2"/>
        <v>0.002979253561562256</v>
      </c>
      <c r="F16" s="46">
        <f t="shared" si="3"/>
        <v>0.11431408539704524</v>
      </c>
      <c r="H16" s="54"/>
      <c r="I16" s="55"/>
      <c r="J16" s="55"/>
      <c r="K16" s="56"/>
      <c r="L16" s="56"/>
      <c r="M16" s="56"/>
      <c r="N16" s="57"/>
      <c r="O16" s="57"/>
      <c r="P16" s="57"/>
      <c r="Q16" s="57"/>
    </row>
    <row r="17" spans="1:17" ht="12.75">
      <c r="A17" s="50">
        <f t="shared" si="0"/>
        <v>3</v>
      </c>
      <c r="B17" s="51">
        <f t="shared" si="1"/>
        <v>2005</v>
      </c>
      <c r="C17" s="52">
        <v>38412</v>
      </c>
      <c r="D17" s="250">
        <f>'[1]IGP-M'!D17</f>
        <v>336.123</v>
      </c>
      <c r="E17" s="53">
        <f t="shared" si="2"/>
        <v>0.008506156837329915</v>
      </c>
      <c r="F17" s="53">
        <f t="shared" si="3"/>
        <v>0.12379261577347811</v>
      </c>
      <c r="H17" s="54"/>
      <c r="I17" s="55"/>
      <c r="J17" s="55"/>
      <c r="K17" s="56"/>
      <c r="L17" s="56"/>
      <c r="M17" s="56"/>
      <c r="N17" s="57"/>
      <c r="O17" s="57"/>
      <c r="P17" s="57"/>
      <c r="Q17" s="57"/>
    </row>
    <row r="18" spans="1:17" ht="12.75">
      <c r="A18" s="43">
        <f t="shared" si="0"/>
        <v>4</v>
      </c>
      <c r="B18" s="44">
        <f t="shared" si="1"/>
        <v>2005</v>
      </c>
      <c r="C18" s="45">
        <v>38443</v>
      </c>
      <c r="D18" s="249">
        <f>'[1]IGP-M'!D18</f>
        <v>339.03</v>
      </c>
      <c r="E18" s="46">
        <f t="shared" si="2"/>
        <v>0.008648619701716376</v>
      </c>
      <c r="F18" s="46">
        <f t="shared" si="3"/>
        <v>0.13351187073089998</v>
      </c>
      <c r="H18" s="54"/>
      <c r="I18" s="55"/>
      <c r="J18" s="55"/>
      <c r="K18" s="56"/>
      <c r="L18" s="56"/>
      <c r="M18" s="56"/>
      <c r="N18" s="57"/>
      <c r="O18" s="57"/>
      <c r="P18" s="57"/>
      <c r="Q18" s="57"/>
    </row>
    <row r="19" spans="1:17" ht="12.75">
      <c r="A19" s="50">
        <f t="shared" si="0"/>
        <v>5</v>
      </c>
      <c r="B19" s="51">
        <f t="shared" si="1"/>
        <v>2005</v>
      </c>
      <c r="C19" s="52">
        <v>38473</v>
      </c>
      <c r="D19" s="250">
        <f>'[1]IGP-M'!D19</f>
        <v>338.299</v>
      </c>
      <c r="E19" s="53">
        <f t="shared" si="2"/>
        <v>-0.0021561513730348203</v>
      </c>
      <c r="F19" s="53">
        <f t="shared" si="3"/>
        <v>0.1310678475544722</v>
      </c>
      <c r="H19" s="54"/>
      <c r="I19" s="55"/>
      <c r="J19" s="55"/>
      <c r="K19" s="56"/>
      <c r="L19" s="56"/>
      <c r="M19" s="56"/>
      <c r="N19" s="57"/>
      <c r="O19" s="57"/>
      <c r="P19" s="57"/>
      <c r="Q19" s="57"/>
    </row>
    <row r="20" spans="1:17" ht="12.75">
      <c r="A20" s="43">
        <f t="shared" si="0"/>
        <v>6</v>
      </c>
      <c r="B20" s="44">
        <f t="shared" si="1"/>
        <v>2005</v>
      </c>
      <c r="C20" s="45">
        <v>38504</v>
      </c>
      <c r="D20" s="249">
        <f>'[1]IGP-M'!D20</f>
        <v>336.801</v>
      </c>
      <c r="E20" s="46">
        <f t="shared" si="2"/>
        <v>-0.0044280355543468986</v>
      </c>
      <c r="F20" s="46">
        <f t="shared" si="3"/>
        <v>0.12605943891112248</v>
      </c>
      <c r="H20" s="54"/>
      <c r="I20" s="55"/>
      <c r="J20" s="55"/>
      <c r="K20" s="56"/>
      <c r="L20" s="56"/>
      <c r="M20" s="56"/>
      <c r="N20" s="57"/>
      <c r="O20" s="57"/>
      <c r="P20" s="57"/>
      <c r="Q20" s="57"/>
    </row>
    <row r="21" spans="1:17" ht="12.75">
      <c r="A21" s="50">
        <f t="shared" si="0"/>
        <v>7</v>
      </c>
      <c r="B21" s="51">
        <f t="shared" si="1"/>
        <v>2005</v>
      </c>
      <c r="C21" s="52">
        <v>38534</v>
      </c>
      <c r="D21" s="250">
        <f>'[1]IGP-M'!D21</f>
        <v>335.663</v>
      </c>
      <c r="E21" s="53">
        <f t="shared" si="2"/>
        <v>-0.0033788498252677046</v>
      </c>
      <c r="F21" s="53">
        <f t="shared" si="3"/>
        <v>0.12225465317271667</v>
      </c>
      <c r="H21" s="54"/>
      <c r="I21" s="55"/>
      <c r="J21" s="55"/>
      <c r="K21" s="56"/>
      <c r="L21" s="56"/>
      <c r="M21" s="56"/>
      <c r="N21" s="57"/>
      <c r="O21" s="57"/>
      <c r="P21" s="57"/>
      <c r="Q21" s="57"/>
    </row>
    <row r="22" spans="1:17" ht="12.75">
      <c r="A22" s="43">
        <f t="shared" si="0"/>
        <v>8</v>
      </c>
      <c r="B22" s="44">
        <f t="shared" si="1"/>
        <v>2005</v>
      </c>
      <c r="C22" s="45">
        <v>38565</v>
      </c>
      <c r="D22" s="249">
        <f>'[1]IGP-M'!D22</f>
        <v>333.474</v>
      </c>
      <c r="E22" s="46">
        <f t="shared" si="2"/>
        <v>-0.0065214217831576216</v>
      </c>
      <c r="F22" s="46">
        <f t="shared" si="3"/>
        <v>0.11493595723126626</v>
      </c>
      <c r="H22" s="54"/>
      <c r="I22" s="55"/>
      <c r="J22" s="55"/>
      <c r="K22" s="56"/>
      <c r="L22" s="56"/>
      <c r="M22" s="56"/>
      <c r="N22" s="57"/>
      <c r="O22" s="57"/>
      <c r="P22" s="57"/>
      <c r="Q22" s="57"/>
    </row>
    <row r="23" spans="1:17" ht="12.75">
      <c r="A23" s="50">
        <f t="shared" si="0"/>
        <v>9</v>
      </c>
      <c r="B23" s="51">
        <f t="shared" si="1"/>
        <v>2005</v>
      </c>
      <c r="C23" s="52">
        <v>38596</v>
      </c>
      <c r="D23" s="250">
        <f>'[1]IGP-M'!D23</f>
        <v>331.69</v>
      </c>
      <c r="E23" s="53">
        <f t="shared" si="2"/>
        <v>-0.005349742408703451</v>
      </c>
      <c r="F23" s="53">
        <f t="shared" si="3"/>
        <v>0.10897133705787754</v>
      </c>
      <c r="H23" s="54"/>
      <c r="I23" s="55"/>
      <c r="J23" s="55"/>
      <c r="K23" s="56"/>
      <c r="L23" s="56"/>
      <c r="M23" s="56"/>
      <c r="N23" s="57"/>
      <c r="O23" s="57"/>
      <c r="P23" s="57"/>
      <c r="Q23" s="57"/>
    </row>
    <row r="24" spans="1:17" ht="12.75">
      <c r="A24" s="43">
        <f t="shared" si="0"/>
        <v>10</v>
      </c>
      <c r="B24" s="44">
        <f t="shared" si="1"/>
        <v>2005</v>
      </c>
      <c r="C24" s="45">
        <v>38626</v>
      </c>
      <c r="D24" s="249">
        <f>'[1]IGP-M'!D24</f>
        <v>333.694</v>
      </c>
      <c r="E24" s="46">
        <f t="shared" si="2"/>
        <v>0.006041786005004823</v>
      </c>
      <c r="F24" s="46">
        <f t="shared" si="3"/>
        <v>0.11567150456206532</v>
      </c>
      <c r="H24" s="54"/>
      <c r="I24" s="55"/>
      <c r="J24" s="55"/>
      <c r="K24" s="56"/>
      <c r="L24" s="56"/>
      <c r="M24" s="56"/>
      <c r="N24" s="57"/>
      <c r="O24" s="57"/>
      <c r="P24" s="57"/>
      <c r="Q24" s="57"/>
    </row>
    <row r="25" spans="1:17" ht="12.75">
      <c r="A25" s="50">
        <f t="shared" si="0"/>
        <v>11</v>
      </c>
      <c r="B25" s="51">
        <f t="shared" si="1"/>
        <v>2005</v>
      </c>
      <c r="C25" s="52">
        <v>38657</v>
      </c>
      <c r="D25" s="250">
        <f>'[1]IGP-M'!D25</f>
        <v>335.033</v>
      </c>
      <c r="E25" s="53">
        <f t="shared" si="2"/>
        <v>0.004012658303715444</v>
      </c>
      <c r="F25" s="53">
        <f t="shared" si="3"/>
        <v>0.12014831308906482</v>
      </c>
      <c r="H25" s="54"/>
      <c r="I25" s="55"/>
      <c r="J25" s="55"/>
      <c r="K25" s="56"/>
      <c r="L25" s="56"/>
      <c r="M25" s="56"/>
      <c r="N25" s="57"/>
      <c r="O25" s="57"/>
      <c r="P25" s="57"/>
      <c r="Q25" s="57"/>
    </row>
    <row r="26" spans="1:22" s="58" customFormat="1" ht="12.75">
      <c r="A26" s="43">
        <f t="shared" si="0"/>
        <v>12</v>
      </c>
      <c r="B26" s="44">
        <f t="shared" si="1"/>
        <v>2005</v>
      </c>
      <c r="C26" s="45">
        <v>38687</v>
      </c>
      <c r="D26" s="249">
        <f>'[1]IGP-M'!D26</f>
        <v>335.006</v>
      </c>
      <c r="E26" s="46">
        <f t="shared" si="2"/>
        <v>-8.058907630004164E-05</v>
      </c>
      <c r="F26" s="46">
        <f t="shared" si="3"/>
        <v>0.12005804137119402</v>
      </c>
      <c r="G26" s="37"/>
      <c r="H26" s="54"/>
      <c r="I26" s="55"/>
      <c r="J26" s="55"/>
      <c r="K26" s="56"/>
      <c r="L26" s="56"/>
      <c r="M26" s="56"/>
      <c r="N26" s="57"/>
      <c r="O26" s="57"/>
      <c r="P26" s="57"/>
      <c r="Q26" s="57"/>
      <c r="R26" s="37"/>
      <c r="S26" s="37"/>
      <c r="T26" s="37"/>
      <c r="U26" s="37"/>
      <c r="V26" s="37"/>
    </row>
    <row r="27" spans="1:17" ht="12.75">
      <c r="A27" s="50">
        <f t="shared" si="0"/>
        <v>1</v>
      </c>
      <c r="B27" s="51">
        <f t="shared" si="1"/>
        <v>2006</v>
      </c>
      <c r="C27" s="52">
        <v>38718</v>
      </c>
      <c r="D27" s="250">
        <f>'[1]IGP-M'!D27</f>
        <v>338.083</v>
      </c>
      <c r="E27" s="53">
        <f t="shared" si="2"/>
        <v>0.009184910121012857</v>
      </c>
      <c r="F27" s="53">
        <f t="shared" si="3"/>
        <v>0.13034567381150608</v>
      </c>
      <c r="H27" s="54"/>
      <c r="I27" s="55"/>
      <c r="J27" s="55"/>
      <c r="K27" s="56"/>
      <c r="L27" s="56"/>
      <c r="M27" s="56"/>
      <c r="N27" s="57"/>
      <c r="O27" s="57"/>
      <c r="P27" s="57"/>
      <c r="Q27" s="57"/>
    </row>
    <row r="28" spans="1:22" s="58" customFormat="1" ht="12.75">
      <c r="A28" s="43">
        <f t="shared" si="0"/>
        <v>2</v>
      </c>
      <c r="B28" s="44">
        <f t="shared" si="1"/>
        <v>2006</v>
      </c>
      <c r="C28" s="45">
        <v>38749</v>
      </c>
      <c r="D28" s="249">
        <f>'[1]IGP-M'!D28</f>
        <v>338.128</v>
      </c>
      <c r="E28" s="46">
        <f t="shared" si="2"/>
        <v>0.00013310340951755428</v>
      </c>
      <c r="F28" s="46">
        <f t="shared" si="3"/>
        <v>0.13049612667462407</v>
      </c>
      <c r="G28" s="37"/>
      <c r="H28" s="54"/>
      <c r="I28" s="55"/>
      <c r="J28" s="55"/>
      <c r="K28" s="56"/>
      <c r="L28" s="56"/>
      <c r="M28" s="56"/>
      <c r="N28" s="57"/>
      <c r="O28" s="57"/>
      <c r="P28" s="57"/>
      <c r="Q28" s="57"/>
      <c r="R28" s="37"/>
      <c r="S28" s="37"/>
      <c r="T28" s="37"/>
      <c r="U28" s="37"/>
      <c r="V28" s="37"/>
    </row>
    <row r="29" spans="1:17" ht="12.75">
      <c r="A29" s="50">
        <f t="shared" si="0"/>
        <v>3</v>
      </c>
      <c r="B29" s="51">
        <f t="shared" si="1"/>
        <v>2006</v>
      </c>
      <c r="C29" s="52">
        <v>38777</v>
      </c>
      <c r="D29" s="250">
        <f>'[1]IGP-M'!D29</f>
        <v>337.339</v>
      </c>
      <c r="E29" s="53">
        <f t="shared" si="2"/>
        <v>-0.002333435858609678</v>
      </c>
      <c r="F29" s="53">
        <f t="shared" si="3"/>
        <v>0.127858186474622</v>
      </c>
      <c r="H29" s="54"/>
      <c r="I29" s="55"/>
      <c r="J29" s="55"/>
      <c r="K29" s="56"/>
      <c r="L29" s="56"/>
      <c r="M29" s="56"/>
      <c r="N29" s="57"/>
      <c r="O29" s="57"/>
      <c r="P29" s="57"/>
      <c r="Q29" s="57"/>
    </row>
    <row r="30" spans="1:22" s="58" customFormat="1" ht="12.75">
      <c r="A30" s="43">
        <f t="shared" si="0"/>
        <v>4</v>
      </c>
      <c r="B30" s="44">
        <f t="shared" si="1"/>
        <v>2006</v>
      </c>
      <c r="C30" s="45">
        <v>38808</v>
      </c>
      <c r="D30" s="249">
        <f>'[1]IGP-M'!D30</f>
        <v>335.921</v>
      </c>
      <c r="E30" s="46">
        <f t="shared" si="2"/>
        <v>-0.004203486700322223</v>
      </c>
      <c r="F30" s="46">
        <f t="shared" si="3"/>
        <v>0.12311724958792647</v>
      </c>
      <c r="G30" s="37"/>
      <c r="H30" s="54"/>
      <c r="I30" s="55"/>
      <c r="J30" s="55"/>
      <c r="K30" s="56"/>
      <c r="L30" s="56"/>
      <c r="M30" s="56"/>
      <c r="N30" s="57"/>
      <c r="O30" s="57"/>
      <c r="P30" s="57"/>
      <c r="Q30" s="57"/>
      <c r="R30" s="37"/>
      <c r="S30" s="37"/>
      <c r="T30" s="37"/>
      <c r="U30" s="37"/>
      <c r="V30" s="37"/>
    </row>
    <row r="31" spans="1:17" ht="12.75">
      <c r="A31" s="50">
        <f t="shared" si="0"/>
        <v>5</v>
      </c>
      <c r="B31" s="51">
        <f t="shared" si="1"/>
        <v>2006</v>
      </c>
      <c r="C31" s="52">
        <v>38838</v>
      </c>
      <c r="D31" s="250">
        <f>'[1]IGP-M'!D31</f>
        <v>337.185</v>
      </c>
      <c r="E31" s="53">
        <f t="shared" si="2"/>
        <v>0.003762789465380223</v>
      </c>
      <c r="F31" s="53">
        <f t="shared" si="3"/>
        <v>0.12734330334306265</v>
      </c>
      <c r="H31" s="54"/>
      <c r="I31" s="55"/>
      <c r="J31" s="55"/>
      <c r="K31" s="56"/>
      <c r="L31" s="56"/>
      <c r="M31" s="56"/>
      <c r="N31" s="57"/>
      <c r="O31" s="57"/>
      <c r="P31" s="57"/>
      <c r="Q31" s="57"/>
    </row>
    <row r="32" spans="1:22" s="58" customFormat="1" ht="12.75">
      <c r="A32" s="43">
        <f t="shared" si="0"/>
        <v>6</v>
      </c>
      <c r="B32" s="44">
        <f t="shared" si="1"/>
        <v>2006</v>
      </c>
      <c r="C32" s="45">
        <v>38869</v>
      </c>
      <c r="D32" s="249">
        <f>'[1]IGP-M'!D32</f>
        <v>339.712</v>
      </c>
      <c r="E32" s="46">
        <f t="shared" si="2"/>
        <v>0.0074944021827778595</v>
      </c>
      <c r="F32" s="46">
        <f t="shared" si="3"/>
        <v>0.13579206745637706</v>
      </c>
      <c r="G32" s="37"/>
      <c r="H32" s="54"/>
      <c r="I32" s="55"/>
      <c r="J32" s="55"/>
      <c r="K32" s="56"/>
      <c r="L32" s="56"/>
      <c r="M32" s="56"/>
      <c r="N32" s="57"/>
      <c r="O32" s="57"/>
      <c r="P32" s="57"/>
      <c r="Q32" s="57"/>
      <c r="R32" s="37"/>
      <c r="S32" s="37"/>
      <c r="T32" s="37"/>
      <c r="U32" s="37"/>
      <c r="V32" s="37"/>
    </row>
    <row r="33" spans="1:17" ht="12.75">
      <c r="A33" s="50">
        <f t="shared" si="0"/>
        <v>7</v>
      </c>
      <c r="B33" s="51">
        <f t="shared" si="1"/>
        <v>2006</v>
      </c>
      <c r="C33" s="52">
        <v>38899</v>
      </c>
      <c r="D33" s="250">
        <f>'[1]IGP-M'!D33</f>
        <v>340.312</v>
      </c>
      <c r="E33" s="53">
        <f t="shared" si="2"/>
        <v>0.001766201959306768</v>
      </c>
      <c r="F33" s="53">
        <f t="shared" si="3"/>
        <v>0.13779810563128359</v>
      </c>
      <c r="G33" s="59"/>
      <c r="H33" s="54"/>
      <c r="I33" s="55"/>
      <c r="J33" s="55"/>
      <c r="K33" s="56"/>
      <c r="L33" s="56"/>
      <c r="M33" s="56"/>
      <c r="N33" s="57"/>
      <c r="O33" s="57"/>
      <c r="P33" s="57"/>
      <c r="Q33" s="57"/>
    </row>
    <row r="34" spans="1:22" s="58" customFormat="1" ht="12.75">
      <c r="A34" s="43">
        <f t="shared" si="0"/>
        <v>8</v>
      </c>
      <c r="B34" s="44">
        <f t="shared" si="1"/>
        <v>2006</v>
      </c>
      <c r="C34" s="45">
        <v>38930</v>
      </c>
      <c r="D34" s="249">
        <f>'[1]IGP-M'!D34</f>
        <v>341.574</v>
      </c>
      <c r="E34" s="46">
        <f t="shared" si="2"/>
        <v>0.003708361738639754</v>
      </c>
      <c r="F34" s="46">
        <f t="shared" si="3"/>
        <v>0.14201747259250364</v>
      </c>
      <c r="G34" s="37"/>
      <c r="H34" s="54"/>
      <c r="I34" s="55"/>
      <c r="J34" s="55"/>
      <c r="K34" s="56"/>
      <c r="L34" s="56"/>
      <c r="M34" s="56"/>
      <c r="N34" s="57"/>
      <c r="O34" s="57"/>
      <c r="P34" s="57"/>
      <c r="Q34" s="57"/>
      <c r="R34" s="37"/>
      <c r="S34" s="37"/>
      <c r="T34" s="37"/>
      <c r="U34" s="37"/>
      <c r="V34" s="37"/>
    </row>
    <row r="35" spans="1:17" ht="12.75">
      <c r="A35" s="50">
        <f t="shared" si="0"/>
        <v>9</v>
      </c>
      <c r="B35" s="51">
        <f t="shared" si="1"/>
        <v>2006</v>
      </c>
      <c r="C35" s="52">
        <v>38961</v>
      </c>
      <c r="D35" s="250">
        <f>'[1]IGP-M'!D35</f>
        <v>342.561</v>
      </c>
      <c r="E35" s="53">
        <f t="shared" si="2"/>
        <v>0.002889564193995886</v>
      </c>
      <c r="F35" s="53">
        <f t="shared" si="3"/>
        <v>0.14531740539022464</v>
      </c>
      <c r="H35" s="54"/>
      <c r="I35" s="55"/>
      <c r="J35" s="55"/>
      <c r="K35" s="56"/>
      <c r="L35" s="56"/>
      <c r="M35" s="56"/>
      <c r="N35" s="57"/>
      <c r="O35" s="57"/>
      <c r="P35" s="57"/>
      <c r="Q35" s="57"/>
    </row>
    <row r="36" spans="1:22" s="58" customFormat="1" ht="12.75">
      <c r="A36" s="43">
        <f t="shared" si="0"/>
        <v>10</v>
      </c>
      <c r="B36" s="44">
        <f t="shared" si="1"/>
        <v>2006</v>
      </c>
      <c r="C36" s="45">
        <v>38991</v>
      </c>
      <c r="D36" s="249">
        <f>'[1]IGP-M'!D36</f>
        <v>344.155</v>
      </c>
      <c r="E36" s="46">
        <f t="shared" si="2"/>
        <v>0.00465318585594976</v>
      </c>
      <c r="F36" s="46">
        <f t="shared" si="3"/>
        <v>0.1506467801415594</v>
      </c>
      <c r="G36" s="37"/>
      <c r="H36" s="54"/>
      <c r="I36" s="60"/>
      <c r="J36" s="60"/>
      <c r="K36" s="56"/>
      <c r="L36" s="56"/>
      <c r="M36" s="56"/>
      <c r="N36" s="57"/>
      <c r="O36" s="57"/>
      <c r="P36" s="57"/>
      <c r="Q36" s="57"/>
      <c r="R36" s="37"/>
      <c r="S36" s="37"/>
      <c r="T36" s="37"/>
      <c r="U36" s="37"/>
      <c r="V36" s="37"/>
    </row>
    <row r="37" spans="1:17" ht="12.75">
      <c r="A37" s="50">
        <f t="shared" si="0"/>
        <v>11</v>
      </c>
      <c r="B37" s="51">
        <f t="shared" si="1"/>
        <v>2006</v>
      </c>
      <c r="C37" s="52">
        <v>39022</v>
      </c>
      <c r="D37" s="250">
        <f>'[1]IGP-M'!D37</f>
        <v>346.746</v>
      </c>
      <c r="E37" s="53">
        <f t="shared" si="2"/>
        <v>0.00752858450407512</v>
      </c>
      <c r="F37" s="53">
        <f t="shared" si="3"/>
        <v>0.15930952166019718</v>
      </c>
      <c r="G37" s="59"/>
      <c r="H37" s="54"/>
      <c r="I37" s="60"/>
      <c r="J37" s="60"/>
      <c r="K37" s="61"/>
      <c r="L37" s="56"/>
      <c r="M37" s="56"/>
      <c r="N37" s="57"/>
      <c r="O37" s="57"/>
      <c r="P37" s="57"/>
      <c r="Q37" s="57"/>
    </row>
    <row r="38" spans="1:22" s="58" customFormat="1" ht="12.75">
      <c r="A38" s="43">
        <f t="shared" si="0"/>
        <v>12</v>
      </c>
      <c r="B38" s="44">
        <f t="shared" si="1"/>
        <v>2006</v>
      </c>
      <c r="C38" s="45">
        <v>39052</v>
      </c>
      <c r="D38" s="249">
        <f>'[1]IGP-M'!D38</f>
        <v>347.842</v>
      </c>
      <c r="E38" s="46">
        <f t="shared" si="2"/>
        <v>0.0031608151211550695</v>
      </c>
      <c r="F38" s="46">
        <f t="shared" si="3"/>
        <v>0.16297388472635976</v>
      </c>
      <c r="G38" s="37"/>
      <c r="H38" s="54"/>
      <c r="I38" s="60"/>
      <c r="J38" s="60"/>
      <c r="K38" s="56"/>
      <c r="L38" s="56"/>
      <c r="M38" s="56"/>
      <c r="N38" s="57"/>
      <c r="O38" s="57"/>
      <c r="P38" s="57"/>
      <c r="Q38" s="57"/>
      <c r="R38" s="37"/>
      <c r="S38" s="37"/>
      <c r="T38" s="37"/>
      <c r="U38" s="37"/>
      <c r="V38" s="37"/>
    </row>
    <row r="39" spans="1:17" ht="12.75">
      <c r="A39" s="62">
        <f t="shared" si="0"/>
        <v>1</v>
      </c>
      <c r="B39" s="63">
        <f t="shared" si="1"/>
        <v>2007</v>
      </c>
      <c r="C39" s="52">
        <v>39083</v>
      </c>
      <c r="D39" s="250">
        <f>'[1]IGP-M'!D39</f>
        <v>349.593</v>
      </c>
      <c r="E39" s="53">
        <f t="shared" si="2"/>
        <v>0.005033894699317587</v>
      </c>
      <c r="F39" s="53">
        <f t="shared" si="3"/>
        <v>0.16882817280012863</v>
      </c>
      <c r="G39" s="64"/>
      <c r="H39" s="65"/>
      <c r="I39" s="60"/>
      <c r="J39" s="60"/>
      <c r="K39" s="66"/>
      <c r="L39" s="56"/>
      <c r="M39" s="67"/>
      <c r="N39" s="57"/>
      <c r="O39" s="57"/>
      <c r="P39" s="57"/>
      <c r="Q39" s="57"/>
    </row>
    <row r="40" spans="1:17" ht="12.75">
      <c r="A40" s="68">
        <f t="shared" si="0"/>
        <v>2</v>
      </c>
      <c r="B40" s="69">
        <f t="shared" si="1"/>
        <v>2007</v>
      </c>
      <c r="C40" s="45">
        <v>39114</v>
      </c>
      <c r="D40" s="249">
        <f>'[1]IGP-M'!D40</f>
        <v>350.524</v>
      </c>
      <c r="E40" s="46">
        <f t="shared" si="2"/>
        <v>0.002663096801137188</v>
      </c>
      <c r="F40" s="46">
        <f t="shared" si="3"/>
        <v>0.1719408753681917</v>
      </c>
      <c r="G40" s="70" t="str">
        <f aca="true" t="shared" si="4" ref="G40:G103">IF(AND(L40=0,D40=0),"&lt;-- Preencha o valor do IGP-M na coluna D"," ")</f>
        <v> </v>
      </c>
      <c r="H40" s="71"/>
      <c r="I40" s="60"/>
      <c r="K40" s="66">
        <v>0.004</v>
      </c>
      <c r="L40" s="56">
        <f aca="true" ca="1" t="shared" si="5" ref="L40:L103">IF(TODAY()&gt;M40,0,1)</f>
        <v>0</v>
      </c>
      <c r="M40" s="67">
        <v>39142</v>
      </c>
      <c r="N40" s="72"/>
      <c r="O40" s="72"/>
      <c r="P40" s="72"/>
      <c r="Q40" s="72"/>
    </row>
    <row r="41" spans="1:17" ht="12.75">
      <c r="A41" s="62">
        <f t="shared" si="0"/>
        <v>3</v>
      </c>
      <c r="B41" s="63">
        <f t="shared" si="1"/>
        <v>2007</v>
      </c>
      <c r="C41" s="52">
        <v>39142</v>
      </c>
      <c r="D41" s="250">
        <f>'[1]IGP-M'!D41</f>
        <v>351.717</v>
      </c>
      <c r="E41" s="53">
        <f t="shared" si="2"/>
        <v>0.0034034759388801294</v>
      </c>
      <c r="F41" s="53">
        <f t="shared" si="3"/>
        <v>0.17592954793929727</v>
      </c>
      <c r="G41" s="70" t="str">
        <f t="shared" si="4"/>
        <v> </v>
      </c>
      <c r="H41" s="71"/>
      <c r="I41" s="60"/>
      <c r="K41" s="66">
        <v>0.0036</v>
      </c>
      <c r="L41" s="56">
        <f ca="1" t="shared" si="5"/>
        <v>0</v>
      </c>
      <c r="M41" s="67">
        <v>39173</v>
      </c>
      <c r="N41" s="72"/>
      <c r="O41" s="72"/>
      <c r="P41" s="72"/>
      <c r="Q41" s="72"/>
    </row>
    <row r="42" spans="1:17" ht="12.75">
      <c r="A42" s="68">
        <f t="shared" si="0"/>
        <v>4</v>
      </c>
      <c r="B42" s="69">
        <f t="shared" si="1"/>
        <v>2007</v>
      </c>
      <c r="C42" s="45">
        <v>39173</v>
      </c>
      <c r="D42" s="249">
        <f>'[1]IGP-M'!D42</f>
        <v>351.869</v>
      </c>
      <c r="E42" s="46">
        <f t="shared" si="2"/>
        <v>0.00043216563316539336</v>
      </c>
      <c r="F42" s="46">
        <f t="shared" si="3"/>
        <v>0.17643774427694048</v>
      </c>
      <c r="G42" s="70" t="str">
        <f t="shared" si="4"/>
        <v> </v>
      </c>
      <c r="H42" s="71"/>
      <c r="I42" s="60"/>
      <c r="K42" s="66">
        <v>0.0032</v>
      </c>
      <c r="L42" s="56">
        <f ca="1" t="shared" si="5"/>
        <v>0</v>
      </c>
      <c r="M42" s="67">
        <v>39203</v>
      </c>
      <c r="N42" s="72"/>
      <c r="O42" s="72"/>
      <c r="P42" s="72"/>
      <c r="Q42" s="72"/>
    </row>
    <row r="43" spans="1:17" ht="12.75">
      <c r="A43" s="62">
        <f t="shared" si="0"/>
        <v>5</v>
      </c>
      <c r="B43" s="63">
        <f t="shared" si="1"/>
        <v>2007</v>
      </c>
      <c r="C43" s="52">
        <v>39203</v>
      </c>
      <c r="D43" s="250">
        <f>'[1]IGP-M'!D43</f>
        <v>352.02</v>
      </c>
      <c r="E43" s="53">
        <f t="shared" si="2"/>
        <v>0.00042913697995539124</v>
      </c>
      <c r="F43" s="53">
        <f t="shared" si="3"/>
        <v>0.17694259721762506</v>
      </c>
      <c r="G43" s="70" t="str">
        <f t="shared" si="4"/>
        <v> </v>
      </c>
      <c r="H43" s="71"/>
      <c r="I43" s="60"/>
      <c r="K43" s="66">
        <v>0.0031</v>
      </c>
      <c r="L43" s="56">
        <f ca="1" t="shared" si="5"/>
        <v>0</v>
      </c>
      <c r="M43" s="67">
        <v>39234</v>
      </c>
      <c r="N43" s="72"/>
      <c r="O43" s="72"/>
      <c r="P43" s="72"/>
      <c r="Q43" s="72"/>
    </row>
    <row r="44" spans="1:17" ht="12.75">
      <c r="A44" s="68">
        <f t="shared" si="0"/>
        <v>6</v>
      </c>
      <c r="B44" s="69">
        <f t="shared" si="1"/>
        <v>2007</v>
      </c>
      <c r="C44" s="45">
        <v>39234</v>
      </c>
      <c r="D44" s="249">
        <f>'[1]IGP-M'!D44</f>
        <v>352.936</v>
      </c>
      <c r="E44" s="46">
        <f t="shared" si="2"/>
        <v>0.0026021248792682528</v>
      </c>
      <c r="F44" s="46">
        <f t="shared" si="3"/>
        <v>0.1800051488313157</v>
      </c>
      <c r="G44" s="70" t="str">
        <f t="shared" si="4"/>
        <v> </v>
      </c>
      <c r="H44" s="71"/>
      <c r="I44" s="60"/>
      <c r="K44" s="66">
        <v>0.003</v>
      </c>
      <c r="L44" s="56">
        <f ca="1" t="shared" si="5"/>
        <v>0</v>
      </c>
      <c r="M44" s="67">
        <v>39264</v>
      </c>
      <c r="N44" s="72"/>
      <c r="O44" s="72"/>
      <c r="P44" s="72"/>
      <c r="Q44" s="72"/>
    </row>
    <row r="45" spans="1:17" ht="12.75">
      <c r="A45" s="62">
        <f t="shared" si="0"/>
        <v>7</v>
      </c>
      <c r="B45" s="63">
        <f t="shared" si="1"/>
        <v>2007</v>
      </c>
      <c r="C45" s="52">
        <v>39264</v>
      </c>
      <c r="D45" s="250">
        <f>'[1]IGP-M'!D45</f>
        <v>353.92</v>
      </c>
      <c r="E45" s="53">
        <f t="shared" si="2"/>
        <v>0.0027880408912666077</v>
      </c>
      <c r="F45" s="53">
        <f t="shared" si="3"/>
        <v>0.18329505143816238</v>
      </c>
      <c r="G45" s="70" t="str">
        <f t="shared" si="4"/>
        <v> </v>
      </c>
      <c r="H45" s="71"/>
      <c r="I45" s="60"/>
      <c r="K45" s="66">
        <v>0.0031</v>
      </c>
      <c r="L45" s="56">
        <f ca="1" t="shared" si="5"/>
        <v>0</v>
      </c>
      <c r="M45" s="67">
        <v>39295</v>
      </c>
      <c r="N45" s="72"/>
      <c r="O45" s="72"/>
      <c r="P45" s="72"/>
      <c r="Q45" s="72"/>
    </row>
    <row r="46" spans="1:17" ht="12.75">
      <c r="A46" s="68">
        <f t="shared" si="0"/>
        <v>8</v>
      </c>
      <c r="B46" s="69">
        <f t="shared" si="1"/>
        <v>2007</v>
      </c>
      <c r="C46" s="45">
        <v>39295</v>
      </c>
      <c r="D46" s="249">
        <f>'[1]IGP-M'!D46</f>
        <v>357.404</v>
      </c>
      <c r="E46" s="46">
        <f t="shared" si="2"/>
        <v>0.009844032549728654</v>
      </c>
      <c r="F46" s="46">
        <f t="shared" si="3"/>
        <v>0.19494344644045247</v>
      </c>
      <c r="G46" s="70" t="str">
        <f t="shared" si="4"/>
        <v> </v>
      </c>
      <c r="H46" s="71"/>
      <c r="I46" s="60"/>
      <c r="K46" s="66">
        <v>0.0032</v>
      </c>
      <c r="L46" s="56">
        <f ca="1" t="shared" si="5"/>
        <v>0</v>
      </c>
      <c r="M46" s="67">
        <v>39326</v>
      </c>
      <c r="N46" s="72"/>
      <c r="O46" s="72"/>
      <c r="P46" s="72"/>
      <c r="Q46" s="72"/>
    </row>
    <row r="47" spans="1:17" ht="12.75">
      <c r="A47" s="62">
        <f t="shared" si="0"/>
        <v>9</v>
      </c>
      <c r="B47" s="63">
        <f t="shared" si="1"/>
        <v>2007</v>
      </c>
      <c r="C47" s="52">
        <v>39326</v>
      </c>
      <c r="D47" s="250">
        <f>'[1]IGP-M'!D47</f>
        <v>361.997</v>
      </c>
      <c r="E47" s="53">
        <f t="shared" si="2"/>
        <v>0.01285100334635314</v>
      </c>
      <c r="F47" s="53">
        <f t="shared" si="3"/>
        <v>0.21029966866936167</v>
      </c>
      <c r="G47" s="70" t="str">
        <f t="shared" si="4"/>
        <v> </v>
      </c>
      <c r="H47" s="71"/>
      <c r="I47" s="60"/>
      <c r="K47" s="66">
        <v>0.0036</v>
      </c>
      <c r="L47" s="56">
        <f ca="1" t="shared" si="5"/>
        <v>0</v>
      </c>
      <c r="M47" s="67">
        <v>39356</v>
      </c>
      <c r="N47" s="72"/>
      <c r="O47" s="72"/>
      <c r="P47" s="72"/>
      <c r="Q47" s="72"/>
    </row>
    <row r="48" spans="1:17" ht="12.75">
      <c r="A48" s="68">
        <f t="shared" si="0"/>
        <v>10</v>
      </c>
      <c r="B48" s="69">
        <f t="shared" si="1"/>
        <v>2007</v>
      </c>
      <c r="C48" s="45">
        <v>39356</v>
      </c>
      <c r="D48" s="249">
        <f>'[1]IGP-M'!D48</f>
        <v>365.794</v>
      </c>
      <c r="E48" s="46">
        <f t="shared" si="2"/>
        <v>0.0104890372019657</v>
      </c>
      <c r="F48" s="46">
        <f t="shared" si="3"/>
        <v>0.22299454691956133</v>
      </c>
      <c r="G48" s="70" t="str">
        <f t="shared" si="4"/>
        <v> </v>
      </c>
      <c r="H48" s="71"/>
      <c r="I48" s="60"/>
      <c r="K48" s="66">
        <v>0.004</v>
      </c>
      <c r="L48" s="56">
        <f ca="1" t="shared" si="5"/>
        <v>0</v>
      </c>
      <c r="M48" s="67">
        <v>39387</v>
      </c>
      <c r="N48" s="72"/>
      <c r="O48" s="72"/>
      <c r="P48" s="72"/>
      <c r="Q48" s="72"/>
    </row>
    <row r="49" spans="1:17" ht="12.75">
      <c r="A49" s="62">
        <f t="shared" si="0"/>
        <v>11</v>
      </c>
      <c r="B49" s="63">
        <f t="shared" si="1"/>
        <v>2007</v>
      </c>
      <c r="C49" s="52">
        <v>39387</v>
      </c>
      <c r="D49" s="250">
        <f>'[1]IGP-M'!D49</f>
        <v>368.334</v>
      </c>
      <c r="E49" s="53">
        <f t="shared" si="2"/>
        <v>0.006943798968818582</v>
      </c>
      <c r="F49" s="53">
        <f t="shared" si="3"/>
        <v>0.23148677519333205</v>
      </c>
      <c r="G49" s="70" t="str">
        <f t="shared" si="4"/>
        <v> </v>
      </c>
      <c r="H49" s="71"/>
      <c r="I49" s="60"/>
      <c r="K49" s="66">
        <v>0.0043</v>
      </c>
      <c r="L49" s="56">
        <f ca="1" t="shared" si="5"/>
        <v>0</v>
      </c>
      <c r="M49" s="67">
        <v>39417</v>
      </c>
      <c r="N49" s="72"/>
      <c r="O49" s="72"/>
      <c r="P49" s="72"/>
      <c r="Q49" s="72"/>
    </row>
    <row r="50" spans="1:17" ht="12.75">
      <c r="A50" s="68">
        <f t="shared" si="0"/>
        <v>12</v>
      </c>
      <c r="B50" s="69">
        <f t="shared" si="1"/>
        <v>2007</v>
      </c>
      <c r="C50" s="45">
        <v>39417</v>
      </c>
      <c r="D50" s="249">
        <f>'[1]IGP-M'!D50</f>
        <v>374.815</v>
      </c>
      <c r="E50" s="46">
        <f t="shared" si="2"/>
        <v>0.017595443266166022</v>
      </c>
      <c r="F50" s="46">
        <f t="shared" si="3"/>
        <v>0.25315533087928</v>
      </c>
      <c r="G50" s="70" t="str">
        <f t="shared" si="4"/>
        <v> </v>
      </c>
      <c r="H50" s="71"/>
      <c r="I50" s="60"/>
      <c r="K50" s="66">
        <v>0.0047</v>
      </c>
      <c r="L50" s="56">
        <f ca="1" t="shared" si="5"/>
        <v>0</v>
      </c>
      <c r="M50" s="67">
        <v>39448</v>
      </c>
      <c r="N50" s="72"/>
      <c r="O50" s="72"/>
      <c r="P50" s="72"/>
      <c r="Q50" s="72"/>
    </row>
    <row r="51" spans="1:17" ht="12.75">
      <c r="A51" s="62">
        <f t="shared" si="0"/>
        <v>1</v>
      </c>
      <c r="B51" s="63">
        <f t="shared" si="1"/>
        <v>2008</v>
      </c>
      <c r="C51" s="52">
        <v>39448</v>
      </c>
      <c r="D51" s="250">
        <f>'[1]IGP-M'!D51</f>
        <v>378.9</v>
      </c>
      <c r="E51" s="53">
        <f t="shared" si="2"/>
        <v>0.010898710030281533</v>
      </c>
      <c r="F51" s="53">
        <f t="shared" si="3"/>
        <v>0.2668131074534348</v>
      </c>
      <c r="G51" s="70" t="str">
        <f t="shared" si="4"/>
        <v> </v>
      </c>
      <c r="H51" s="71"/>
      <c r="I51" s="73"/>
      <c r="K51" s="66">
        <v>0.005</v>
      </c>
      <c r="L51" s="56">
        <f ca="1" t="shared" si="5"/>
        <v>0</v>
      </c>
      <c r="M51" s="67">
        <v>39479</v>
      </c>
      <c r="N51" s="72"/>
      <c r="O51" s="72"/>
      <c r="P51" s="72"/>
      <c r="Q51" s="72"/>
    </row>
    <row r="52" spans="1:17" ht="12.75">
      <c r="A52" s="68">
        <f t="shared" si="0"/>
        <v>2</v>
      </c>
      <c r="B52" s="69">
        <f t="shared" si="1"/>
        <v>2008</v>
      </c>
      <c r="C52" s="45">
        <v>39479</v>
      </c>
      <c r="D52" s="249">
        <f>'[1]IGP-M'!D52</f>
        <v>380.906</v>
      </c>
      <c r="E52" s="46">
        <f t="shared" si="2"/>
        <v>0.005294272895222996</v>
      </c>
      <c r="F52" s="46">
        <f t="shared" si="3"/>
        <v>0.2735199617515389</v>
      </c>
      <c r="G52" s="70" t="str">
        <f t="shared" si="4"/>
        <v> </v>
      </c>
      <c r="H52" s="71"/>
      <c r="I52" s="73"/>
      <c r="K52" s="66">
        <v>0.004</v>
      </c>
      <c r="L52" s="56">
        <f ca="1" t="shared" si="5"/>
        <v>0</v>
      </c>
      <c r="M52" s="67">
        <v>39508</v>
      </c>
      <c r="N52" s="72"/>
      <c r="O52" s="72"/>
      <c r="P52" s="72"/>
      <c r="Q52" s="72"/>
    </row>
    <row r="53" spans="1:17" ht="12.75">
      <c r="A53" s="62">
        <f t="shared" si="0"/>
        <v>3</v>
      </c>
      <c r="B53" s="63">
        <f t="shared" si="1"/>
        <v>2008</v>
      </c>
      <c r="C53" s="52">
        <v>39508</v>
      </c>
      <c r="D53" s="250">
        <f>'[1]IGP-M'!D53</f>
        <v>383.731</v>
      </c>
      <c r="E53" s="53">
        <f t="shared" si="2"/>
        <v>0.007416527962279318</v>
      </c>
      <c r="F53" s="53">
        <f t="shared" si="3"/>
        <v>0.28296505815839024</v>
      </c>
      <c r="G53" s="70" t="str">
        <f t="shared" si="4"/>
        <v> </v>
      </c>
      <c r="H53" s="71"/>
      <c r="I53" s="73"/>
      <c r="K53" s="66">
        <v>0.0036</v>
      </c>
      <c r="L53" s="56">
        <f ca="1" t="shared" si="5"/>
        <v>0</v>
      </c>
      <c r="M53" s="67">
        <v>39539</v>
      </c>
      <c r="N53" s="72"/>
      <c r="O53" s="72"/>
      <c r="P53" s="72"/>
      <c r="Q53" s="72"/>
    </row>
    <row r="54" spans="1:17" ht="12.75">
      <c r="A54" s="68">
        <f t="shared" si="0"/>
        <v>4</v>
      </c>
      <c r="B54" s="69">
        <f t="shared" si="1"/>
        <v>2008</v>
      </c>
      <c r="C54" s="45">
        <v>39539</v>
      </c>
      <c r="D54" s="249">
        <f>'[1]IGP-M'!D54</f>
        <v>386.38</v>
      </c>
      <c r="E54" s="46">
        <f t="shared" si="2"/>
        <v>0.006903273386825726</v>
      </c>
      <c r="F54" s="46">
        <f t="shared" si="3"/>
        <v>0.2918217167006023</v>
      </c>
      <c r="G54" s="70" t="str">
        <f t="shared" si="4"/>
        <v> </v>
      </c>
      <c r="H54" s="71"/>
      <c r="I54" s="73"/>
      <c r="K54" s="66">
        <v>0.0032</v>
      </c>
      <c r="L54" s="56">
        <f ca="1" t="shared" si="5"/>
        <v>0</v>
      </c>
      <c r="M54" s="67">
        <v>39569</v>
      </c>
      <c r="N54" s="72"/>
      <c r="O54" s="72"/>
      <c r="P54" s="72"/>
      <c r="Q54" s="72"/>
    </row>
    <row r="55" spans="1:17" ht="12.75">
      <c r="A55" s="62">
        <f t="shared" si="0"/>
        <v>5</v>
      </c>
      <c r="B55" s="63">
        <f t="shared" si="1"/>
        <v>2008</v>
      </c>
      <c r="C55" s="52">
        <v>39569</v>
      </c>
      <c r="D55" s="250">
        <f>'[1]IGP-M'!D55</f>
        <v>392.592</v>
      </c>
      <c r="E55" s="53">
        <f t="shared" si="2"/>
        <v>0.016077436720327132</v>
      </c>
      <c r="F55" s="53">
        <f t="shared" si="3"/>
        <v>0.3125908986048005</v>
      </c>
      <c r="G55" s="70" t="str">
        <f t="shared" si="4"/>
        <v> </v>
      </c>
      <c r="H55" s="71"/>
      <c r="I55" s="73"/>
      <c r="K55" s="66">
        <v>0.0031</v>
      </c>
      <c r="L55" s="56">
        <f ca="1" t="shared" si="5"/>
        <v>0</v>
      </c>
      <c r="M55" s="67">
        <v>39600</v>
      </c>
      <c r="N55" s="72"/>
      <c r="O55" s="72"/>
      <c r="P55" s="72"/>
      <c r="Q55" s="72"/>
    </row>
    <row r="56" spans="1:17" ht="12.75">
      <c r="A56" s="68">
        <f t="shared" si="0"/>
        <v>6</v>
      </c>
      <c r="B56" s="69">
        <f t="shared" si="1"/>
        <v>2008</v>
      </c>
      <c r="C56" s="45">
        <v>39600</v>
      </c>
      <c r="D56" s="249">
        <f>'[1]IGP-M'!D56</f>
        <v>400.382</v>
      </c>
      <c r="E56" s="46">
        <f t="shared" si="2"/>
        <v>0.01984248278110612</v>
      </c>
      <c r="F56" s="46">
        <f t="shared" si="3"/>
        <v>0.33863596090900283</v>
      </c>
      <c r="G56" s="70" t="str">
        <f t="shared" si="4"/>
        <v> </v>
      </c>
      <c r="H56" s="71"/>
      <c r="I56" s="73"/>
      <c r="K56" s="66">
        <v>0.003</v>
      </c>
      <c r="L56" s="56">
        <f ca="1" t="shared" si="5"/>
        <v>0</v>
      </c>
      <c r="M56" s="67">
        <v>39630</v>
      </c>
      <c r="N56" s="72"/>
      <c r="O56" s="72"/>
      <c r="P56" s="72"/>
      <c r="Q56" s="72"/>
    </row>
    <row r="57" spans="1:17" ht="12.75">
      <c r="A57" s="62">
        <f t="shared" si="0"/>
        <v>7</v>
      </c>
      <c r="B57" s="63">
        <f t="shared" si="1"/>
        <v>2008</v>
      </c>
      <c r="C57" s="52">
        <v>39630</v>
      </c>
      <c r="D57" s="250">
        <f>'[1]IGP-M'!D57</f>
        <v>407.446</v>
      </c>
      <c r="E57" s="53">
        <f t="shared" si="2"/>
        <v>0.017643150790994655</v>
      </c>
      <c r="F57" s="53">
        <f t="shared" si="3"/>
        <v>0.3622537170215685</v>
      </c>
      <c r="G57" s="70" t="str">
        <f t="shared" si="4"/>
        <v> </v>
      </c>
      <c r="H57" s="71"/>
      <c r="I57" s="73"/>
      <c r="K57" s="66">
        <v>0.0031</v>
      </c>
      <c r="L57" s="56">
        <f ca="1" t="shared" si="5"/>
        <v>0</v>
      </c>
      <c r="M57" s="67">
        <v>39661</v>
      </c>
      <c r="N57" s="72"/>
      <c r="O57" s="72"/>
      <c r="P57" s="72"/>
      <c r="Q57" s="72"/>
    </row>
    <row r="58" spans="1:17" ht="12.75">
      <c r="A58" s="68">
        <f t="shared" si="0"/>
        <v>8</v>
      </c>
      <c r="B58" s="69">
        <f t="shared" si="1"/>
        <v>2008</v>
      </c>
      <c r="C58" s="45">
        <v>39661</v>
      </c>
      <c r="D58" s="249">
        <f>'[1]IGP-M'!D58</f>
        <v>406.127</v>
      </c>
      <c r="E58" s="46">
        <f t="shared" si="2"/>
        <v>-0.003237238799742803</v>
      </c>
      <c r="F58" s="46">
        <f t="shared" si="3"/>
        <v>0.35784377643373233</v>
      </c>
      <c r="G58" s="70" t="str">
        <f t="shared" si="4"/>
        <v> </v>
      </c>
      <c r="H58" s="71"/>
      <c r="I58" s="73"/>
      <c r="K58" s="66">
        <v>0.0032</v>
      </c>
      <c r="L58" s="56">
        <f ca="1" t="shared" si="5"/>
        <v>0</v>
      </c>
      <c r="M58" s="67">
        <v>39692</v>
      </c>
      <c r="N58" s="72"/>
      <c r="O58" s="72"/>
      <c r="P58" s="72"/>
      <c r="Q58" s="72"/>
    </row>
    <row r="59" spans="1:17" ht="12.75">
      <c r="A59" s="62">
        <f t="shared" si="0"/>
        <v>9</v>
      </c>
      <c r="B59" s="63">
        <f t="shared" si="1"/>
        <v>2008</v>
      </c>
      <c r="C59" s="52">
        <v>39692</v>
      </c>
      <c r="D59" s="250">
        <f>'[1]IGP-M'!D59</f>
        <v>406.557</v>
      </c>
      <c r="E59" s="53">
        <f t="shared" si="2"/>
        <v>0.0010587821051051272</v>
      </c>
      <c r="F59" s="53">
        <f t="shared" si="3"/>
        <v>0.35928143712574867</v>
      </c>
      <c r="G59" s="70" t="str">
        <f t="shared" si="4"/>
        <v> </v>
      </c>
      <c r="H59" s="71"/>
      <c r="I59" s="73"/>
      <c r="K59" s="66">
        <v>0.0036</v>
      </c>
      <c r="L59" s="56">
        <f ca="1" t="shared" si="5"/>
        <v>0</v>
      </c>
      <c r="M59" s="67">
        <v>39722</v>
      </c>
      <c r="N59" s="72"/>
      <c r="O59" s="72"/>
      <c r="P59" s="72"/>
      <c r="Q59" s="72"/>
    </row>
    <row r="60" spans="1:17" ht="12.75">
      <c r="A60" s="68">
        <f t="shared" si="0"/>
        <v>10</v>
      </c>
      <c r="B60" s="69">
        <f t="shared" si="1"/>
        <v>2008</v>
      </c>
      <c r="C60" s="45">
        <v>39722</v>
      </c>
      <c r="D60" s="249">
        <f>'[1]IGP-M'!D60</f>
        <v>410.524</v>
      </c>
      <c r="E60" s="46">
        <f t="shared" si="2"/>
        <v>0.00975754937192086</v>
      </c>
      <c r="F60" s="46">
        <f t="shared" si="3"/>
        <v>0.3725446928588385</v>
      </c>
      <c r="G60" s="70" t="str">
        <f t="shared" si="4"/>
        <v> </v>
      </c>
      <c r="H60" s="71"/>
      <c r="I60" s="73"/>
      <c r="K60" s="66">
        <v>0.004</v>
      </c>
      <c r="L60" s="56">
        <f ca="1" t="shared" si="5"/>
        <v>0</v>
      </c>
      <c r="M60" s="67">
        <v>39753</v>
      </c>
      <c r="N60" s="72"/>
      <c r="O60" s="72"/>
      <c r="P60" s="72"/>
      <c r="Q60" s="72"/>
    </row>
    <row r="61" spans="1:17" ht="12.75">
      <c r="A61" s="62">
        <f t="shared" si="0"/>
        <v>11</v>
      </c>
      <c r="B61" s="63">
        <f t="shared" si="1"/>
        <v>2008</v>
      </c>
      <c r="C61" s="52">
        <v>39753</v>
      </c>
      <c r="D61" s="250">
        <f>'[1]IGP-M'!D61</f>
        <v>412.104</v>
      </c>
      <c r="E61" s="53">
        <f t="shared" si="2"/>
        <v>0.00384873965955701</v>
      </c>
      <c r="F61" s="53">
        <f t="shared" si="3"/>
        <v>0.3778272600527588</v>
      </c>
      <c r="G61" s="70" t="str">
        <f t="shared" si="4"/>
        <v> </v>
      </c>
      <c r="H61" s="71"/>
      <c r="I61" s="73"/>
      <c r="K61" s="66">
        <v>0.0043</v>
      </c>
      <c r="L61" s="56">
        <f ca="1" t="shared" si="5"/>
        <v>0</v>
      </c>
      <c r="M61" s="67">
        <v>39783</v>
      </c>
      <c r="N61" s="72"/>
      <c r="O61" s="72"/>
      <c r="P61" s="72"/>
      <c r="Q61" s="72"/>
    </row>
    <row r="62" spans="1:17" ht="12.75">
      <c r="A62" s="68">
        <f t="shared" si="0"/>
        <v>12</v>
      </c>
      <c r="B62" s="69">
        <f t="shared" si="1"/>
        <v>2008</v>
      </c>
      <c r="C62" s="45">
        <v>39783</v>
      </c>
      <c r="D62" s="249">
        <f>'[1]IGP-M'!D62</f>
        <v>411.575</v>
      </c>
      <c r="E62" s="46">
        <f t="shared" si="2"/>
        <v>-0.0012836565527147847</v>
      </c>
      <c r="F62" s="46">
        <f t="shared" si="3"/>
        <v>0.3760586030618829</v>
      </c>
      <c r="G62" s="70" t="str">
        <f t="shared" si="4"/>
        <v> </v>
      </c>
      <c r="H62" s="71"/>
      <c r="I62" s="73"/>
      <c r="K62" s="66">
        <v>0.0047</v>
      </c>
      <c r="L62" s="56">
        <f ca="1" t="shared" si="5"/>
        <v>0</v>
      </c>
      <c r="M62" s="67">
        <v>39814</v>
      </c>
      <c r="N62" s="72"/>
      <c r="O62" s="72"/>
      <c r="P62" s="72"/>
      <c r="Q62" s="72"/>
    </row>
    <row r="63" spans="1:17" ht="12.75">
      <c r="A63" s="62">
        <f t="shared" si="0"/>
        <v>1</v>
      </c>
      <c r="B63" s="63">
        <f t="shared" si="1"/>
        <v>2009</v>
      </c>
      <c r="C63" s="52">
        <v>39814</v>
      </c>
      <c r="D63" s="250">
        <f>'[1]IGP-M'!D63</f>
        <v>409.782</v>
      </c>
      <c r="E63" s="53">
        <f t="shared" si="2"/>
        <v>-0.00435643564356436</v>
      </c>
      <c r="F63" s="53">
        <f t="shared" si="3"/>
        <v>0.3700638923158708</v>
      </c>
      <c r="G63" s="70" t="str">
        <f t="shared" si="4"/>
        <v> </v>
      </c>
      <c r="H63" s="71"/>
      <c r="I63" s="73"/>
      <c r="K63" s="66">
        <v>0.005</v>
      </c>
      <c r="L63" s="56">
        <f ca="1" t="shared" si="5"/>
        <v>0</v>
      </c>
      <c r="M63" s="67">
        <v>39845</v>
      </c>
      <c r="N63" s="72"/>
      <c r="O63" s="72"/>
      <c r="P63" s="72"/>
      <c r="Q63" s="72"/>
    </row>
    <row r="64" spans="1:17" ht="12.75">
      <c r="A64" s="68">
        <f t="shared" si="0"/>
        <v>2</v>
      </c>
      <c r="B64" s="69">
        <f t="shared" si="1"/>
        <v>2009</v>
      </c>
      <c r="C64" s="45">
        <v>39845</v>
      </c>
      <c r="D64" s="249">
        <f>'[1]IGP-M'!D64</f>
        <v>410.849</v>
      </c>
      <c r="E64" s="46">
        <f t="shared" si="2"/>
        <v>0.002603823496395652</v>
      </c>
      <c r="F64" s="46">
        <f t="shared" si="3"/>
        <v>0.3736312968702462</v>
      </c>
      <c r="G64" s="70" t="str">
        <f t="shared" si="4"/>
        <v> </v>
      </c>
      <c r="H64" s="71"/>
      <c r="I64" s="73"/>
      <c r="K64" s="66">
        <v>0.004</v>
      </c>
      <c r="L64" s="56">
        <f ca="1" t="shared" si="5"/>
        <v>0</v>
      </c>
      <c r="M64" s="67">
        <v>39873</v>
      </c>
      <c r="N64" s="72"/>
      <c r="O64" s="72"/>
      <c r="P64" s="72"/>
      <c r="Q64" s="72"/>
    </row>
    <row r="65" spans="1:17" ht="12.75">
      <c r="A65" s="62">
        <f t="shared" si="0"/>
        <v>3</v>
      </c>
      <c r="B65" s="63">
        <f t="shared" si="1"/>
        <v>2009</v>
      </c>
      <c r="C65" s="52">
        <v>39873</v>
      </c>
      <c r="D65" s="250">
        <f>'[1]IGP-M'!D65</f>
        <v>407.808</v>
      </c>
      <c r="E65" s="53">
        <f t="shared" si="2"/>
        <v>-0.007401746140309418</v>
      </c>
      <c r="F65" s="53">
        <f t="shared" si="3"/>
        <v>0.36346402672042855</v>
      </c>
      <c r="G65" s="70" t="str">
        <f t="shared" si="4"/>
        <v> </v>
      </c>
      <c r="H65" s="71"/>
      <c r="I65" s="73"/>
      <c r="K65" s="66">
        <v>0.0036</v>
      </c>
      <c r="L65" s="56">
        <f ca="1" t="shared" si="5"/>
        <v>0</v>
      </c>
      <c r="M65" s="67">
        <v>39904</v>
      </c>
      <c r="N65" s="72"/>
      <c r="O65" s="72"/>
      <c r="P65" s="72"/>
      <c r="Q65" s="72"/>
    </row>
    <row r="66" spans="1:17" ht="12.75">
      <c r="A66" s="68">
        <f t="shared" si="0"/>
        <v>4</v>
      </c>
      <c r="B66" s="69">
        <f t="shared" si="1"/>
        <v>2009</v>
      </c>
      <c r="C66" s="45">
        <v>39904</v>
      </c>
      <c r="D66" s="249">
        <f>'[1]IGP-M'!D66</f>
        <v>407.181</v>
      </c>
      <c r="E66" s="46">
        <f t="shared" si="2"/>
        <v>-0.0015374882297551906</v>
      </c>
      <c r="F66" s="46">
        <f t="shared" si="3"/>
        <v>0.36136771682765123</v>
      </c>
      <c r="G66" s="70" t="str">
        <f t="shared" si="4"/>
        <v> </v>
      </c>
      <c r="H66" s="71"/>
      <c r="I66" s="73"/>
      <c r="K66" s="66">
        <v>0.0032</v>
      </c>
      <c r="L66" s="56">
        <f ca="1" t="shared" si="5"/>
        <v>0</v>
      </c>
      <c r="M66" s="67">
        <v>39934</v>
      </c>
      <c r="N66" s="72"/>
      <c r="O66" s="72"/>
      <c r="P66" s="72"/>
      <c r="Q66" s="72"/>
    </row>
    <row r="67" spans="1:17" ht="12.75">
      <c r="A67" s="62">
        <f t="shared" si="0"/>
        <v>5</v>
      </c>
      <c r="B67" s="63">
        <f t="shared" si="1"/>
        <v>2009</v>
      </c>
      <c r="C67" s="52">
        <v>39934</v>
      </c>
      <c r="D67" s="250">
        <f>'[1]IGP-M'!D67</f>
        <v>406.885</v>
      </c>
      <c r="E67" s="53">
        <f t="shared" si="2"/>
        <v>-0.0007269494401752619</v>
      </c>
      <c r="F67" s="53">
        <f t="shared" si="3"/>
        <v>0.3603780713280307</v>
      </c>
      <c r="G67" s="70" t="str">
        <f t="shared" si="4"/>
        <v> </v>
      </c>
      <c r="H67" s="71"/>
      <c r="I67" s="73"/>
      <c r="K67" s="66">
        <v>0.0031</v>
      </c>
      <c r="L67" s="56">
        <f ca="1" t="shared" si="5"/>
        <v>0</v>
      </c>
      <c r="M67" s="67">
        <v>39965</v>
      </c>
      <c r="N67" s="72"/>
      <c r="O67" s="72"/>
      <c r="P67" s="72"/>
      <c r="Q67" s="72"/>
    </row>
    <row r="68" spans="1:17" ht="12.75">
      <c r="A68" s="68">
        <f aca="true" t="shared" si="6" ref="A68:A131">MONTH(C68)</f>
        <v>6</v>
      </c>
      <c r="B68" s="69">
        <f aca="true" t="shared" si="7" ref="B68:B131">YEAR(C68)</f>
        <v>2009</v>
      </c>
      <c r="C68" s="45">
        <v>39965</v>
      </c>
      <c r="D68" s="249">
        <f>'[1]IGP-M'!D68</f>
        <v>406.486</v>
      </c>
      <c r="E68" s="46">
        <f t="shared" si="2"/>
        <v>-0.0009806210600046272</v>
      </c>
      <c r="F68" s="46">
        <f t="shared" si="3"/>
        <v>0.35904405594171807</v>
      </c>
      <c r="G68" s="70" t="str">
        <f t="shared" si="4"/>
        <v> </v>
      </c>
      <c r="H68" s="71"/>
      <c r="I68" s="73"/>
      <c r="K68" s="66">
        <v>0.003</v>
      </c>
      <c r="L68" s="56">
        <f ca="1" t="shared" si="5"/>
        <v>0</v>
      </c>
      <c r="M68" s="67">
        <v>39995</v>
      </c>
      <c r="N68" s="72"/>
      <c r="O68" s="72"/>
      <c r="P68" s="72"/>
      <c r="Q68" s="72"/>
    </row>
    <row r="69" spans="1:17" ht="12.75">
      <c r="A69" s="62">
        <f t="shared" si="6"/>
        <v>7</v>
      </c>
      <c r="B69" s="63">
        <f t="shared" si="7"/>
        <v>2009</v>
      </c>
      <c r="C69" s="52">
        <v>39995</v>
      </c>
      <c r="D69" s="250">
        <f>'[1]IGP-M'!D69</f>
        <v>404.718</v>
      </c>
      <c r="E69" s="53">
        <f aca="true" t="shared" si="8" ref="E69:E132">(D69/D68)-1</f>
        <v>-0.004349473290592987</v>
      </c>
      <c r="F69" s="53">
        <f aca="true" t="shared" si="9" ref="F69:F132">(D69/$D$4)-1</f>
        <v>0.3531329301196604</v>
      </c>
      <c r="G69" s="70" t="str">
        <f t="shared" si="4"/>
        <v> </v>
      </c>
      <c r="H69" s="71"/>
      <c r="I69" s="73"/>
      <c r="K69" s="66">
        <v>0.0031</v>
      </c>
      <c r="L69" s="56">
        <f ca="1" t="shared" si="5"/>
        <v>0</v>
      </c>
      <c r="M69" s="67">
        <v>40026</v>
      </c>
      <c r="N69" s="72"/>
      <c r="O69" s="72"/>
      <c r="P69" s="72"/>
      <c r="Q69" s="72"/>
    </row>
    <row r="70" spans="1:17" ht="12.75">
      <c r="A70" s="68">
        <f t="shared" si="6"/>
        <v>8</v>
      </c>
      <c r="B70" s="69">
        <f t="shared" si="7"/>
        <v>2009</v>
      </c>
      <c r="C70" s="45">
        <v>40026</v>
      </c>
      <c r="D70" s="249">
        <f>'[1]IGP-M'!D70</f>
        <v>403.253</v>
      </c>
      <c r="E70" s="46">
        <f t="shared" si="8"/>
        <v>-0.003619804407019256</v>
      </c>
      <c r="F70" s="46">
        <f t="shared" si="9"/>
        <v>0.3482348535759303</v>
      </c>
      <c r="G70" s="70" t="str">
        <f t="shared" si="4"/>
        <v> </v>
      </c>
      <c r="H70" s="71"/>
      <c r="I70" s="73"/>
      <c r="K70" s="66">
        <v>0.0032</v>
      </c>
      <c r="L70" s="56">
        <f ca="1" t="shared" si="5"/>
        <v>0</v>
      </c>
      <c r="M70" s="67">
        <v>40057</v>
      </c>
      <c r="N70" s="72"/>
      <c r="O70" s="72"/>
      <c r="P70" s="72"/>
      <c r="Q70" s="72"/>
    </row>
    <row r="71" spans="1:17" ht="12.75">
      <c r="A71" s="62">
        <f t="shared" si="6"/>
        <v>9</v>
      </c>
      <c r="B71" s="63">
        <f t="shared" si="7"/>
        <v>2009</v>
      </c>
      <c r="C71" s="52">
        <v>40057</v>
      </c>
      <c r="D71" s="250">
        <f>'[1]IGP-M'!D71</f>
        <v>404.945</v>
      </c>
      <c r="E71" s="53">
        <f t="shared" si="8"/>
        <v>0.004195877030053197</v>
      </c>
      <c r="F71" s="53">
        <f t="shared" si="9"/>
        <v>0.3538918812291665</v>
      </c>
      <c r="G71" s="70" t="str">
        <f t="shared" si="4"/>
        <v> </v>
      </c>
      <c r="H71" s="71"/>
      <c r="I71" s="73"/>
      <c r="K71" s="66">
        <v>0.0036</v>
      </c>
      <c r="L71" s="56">
        <f ca="1" t="shared" si="5"/>
        <v>0</v>
      </c>
      <c r="M71" s="67">
        <v>40087</v>
      </c>
      <c r="N71" s="72"/>
      <c r="O71" s="72"/>
      <c r="P71" s="72"/>
      <c r="Q71" s="72"/>
    </row>
    <row r="72" spans="1:17" ht="12.75">
      <c r="A72" s="68">
        <f t="shared" si="6"/>
        <v>10</v>
      </c>
      <c r="B72" s="69">
        <f t="shared" si="7"/>
        <v>2009</v>
      </c>
      <c r="C72" s="45">
        <v>40087</v>
      </c>
      <c r="D72" s="249">
        <f>'[1]IGP-M'!D72</f>
        <v>405.129</v>
      </c>
      <c r="E72" s="46">
        <f t="shared" si="8"/>
        <v>0.00045438269394626474</v>
      </c>
      <c r="F72" s="46">
        <f t="shared" si="9"/>
        <v>0.35450706626947137</v>
      </c>
      <c r="G72" s="70" t="str">
        <f t="shared" si="4"/>
        <v> </v>
      </c>
      <c r="H72" s="71"/>
      <c r="I72" s="73"/>
      <c r="K72" s="66">
        <v>0.004</v>
      </c>
      <c r="L72" s="56">
        <f ca="1" t="shared" si="5"/>
        <v>0</v>
      </c>
      <c r="M72" s="67">
        <v>40118</v>
      </c>
      <c r="N72" s="72"/>
      <c r="O72" s="72"/>
      <c r="P72" s="72"/>
      <c r="Q72" s="72"/>
    </row>
    <row r="73" spans="1:17" ht="12.75">
      <c r="A73" s="62">
        <f t="shared" si="6"/>
        <v>11</v>
      </c>
      <c r="B73" s="63">
        <f t="shared" si="7"/>
        <v>2009</v>
      </c>
      <c r="C73" s="52">
        <v>40118</v>
      </c>
      <c r="D73" s="250">
        <f>'[1]IGP-M'!D73</f>
        <v>405.548</v>
      </c>
      <c r="E73" s="53">
        <f t="shared" si="8"/>
        <v>0.0010342384771269142</v>
      </c>
      <c r="F73" s="53">
        <f t="shared" si="9"/>
        <v>0.35590794959494754</v>
      </c>
      <c r="G73" s="70" t="str">
        <f t="shared" si="4"/>
        <v> </v>
      </c>
      <c r="H73" s="71"/>
      <c r="I73" s="73"/>
      <c r="K73" s="66">
        <v>0.0043</v>
      </c>
      <c r="L73" s="56">
        <f ca="1" t="shared" si="5"/>
        <v>0</v>
      </c>
      <c r="M73" s="67">
        <v>40148</v>
      </c>
      <c r="N73" s="72"/>
      <c r="O73" s="72"/>
      <c r="P73" s="72"/>
      <c r="Q73" s="72"/>
    </row>
    <row r="74" spans="1:17" ht="12.75">
      <c r="A74" s="68">
        <f t="shared" si="6"/>
        <v>12</v>
      </c>
      <c r="B74" s="69">
        <f t="shared" si="7"/>
        <v>2009</v>
      </c>
      <c r="C74" s="45">
        <v>40148</v>
      </c>
      <c r="D74" s="249">
        <f>'[1]IGP-M'!D74</f>
        <v>404.499</v>
      </c>
      <c r="E74" s="46">
        <f t="shared" si="8"/>
        <v>-0.0025866235316164277</v>
      </c>
      <c r="F74" s="46">
        <f t="shared" si="9"/>
        <v>0.3524007261858195</v>
      </c>
      <c r="G74" s="70" t="str">
        <f t="shared" si="4"/>
        <v> </v>
      </c>
      <c r="H74" s="71"/>
      <c r="I74" s="73"/>
      <c r="K74" s="66">
        <v>0.0047</v>
      </c>
      <c r="L74" s="56">
        <f ca="1" t="shared" si="5"/>
        <v>0</v>
      </c>
      <c r="M74" s="67">
        <v>40179</v>
      </c>
      <c r="N74" s="72"/>
      <c r="O74" s="72"/>
      <c r="P74" s="72"/>
      <c r="Q74" s="72"/>
    </row>
    <row r="75" spans="1:17" ht="12.75">
      <c r="A75" s="62">
        <f t="shared" si="6"/>
        <v>1</v>
      </c>
      <c r="B75" s="63">
        <f t="shared" si="7"/>
        <v>2010</v>
      </c>
      <c r="C75" s="52">
        <v>40179</v>
      </c>
      <c r="D75" s="250">
        <f>'[1]IGP-M'!D75</f>
        <v>407.049</v>
      </c>
      <c r="E75" s="53">
        <f t="shared" si="8"/>
        <v>0.0063040946949188825</v>
      </c>
      <c r="F75" s="53">
        <f t="shared" si="9"/>
        <v>0.3609263884291718</v>
      </c>
      <c r="G75" s="70" t="str">
        <f t="shared" si="4"/>
        <v> </v>
      </c>
      <c r="H75" s="71"/>
      <c r="I75" s="73"/>
      <c r="K75" s="66">
        <v>0.005</v>
      </c>
      <c r="L75" s="56">
        <f ca="1" t="shared" si="5"/>
        <v>0</v>
      </c>
      <c r="M75" s="67">
        <v>40210</v>
      </c>
      <c r="N75" s="72"/>
      <c r="O75" s="72"/>
      <c r="P75" s="72"/>
      <c r="Q75" s="72"/>
    </row>
    <row r="76" spans="1:17" ht="12.75">
      <c r="A76" s="68">
        <f t="shared" si="6"/>
        <v>2</v>
      </c>
      <c r="B76" s="69">
        <f t="shared" si="7"/>
        <v>2010</v>
      </c>
      <c r="C76" s="45">
        <v>40210</v>
      </c>
      <c r="D76" s="249">
        <f>'[1]IGP-M'!D76</f>
        <v>411.843</v>
      </c>
      <c r="E76" s="46">
        <f t="shared" si="8"/>
        <v>0.011777451854690701</v>
      </c>
      <c r="F76" s="46">
        <f t="shared" si="9"/>
        <v>0.3769546334466747</v>
      </c>
      <c r="G76" s="70" t="str">
        <f t="shared" si="4"/>
        <v> </v>
      </c>
      <c r="H76" s="71"/>
      <c r="I76" s="73"/>
      <c r="K76" s="66">
        <v>0.004</v>
      </c>
      <c r="L76" s="56">
        <f ca="1" t="shared" si="5"/>
        <v>0</v>
      </c>
      <c r="M76" s="67">
        <v>40238</v>
      </c>
      <c r="N76" s="72"/>
      <c r="O76" s="72"/>
      <c r="P76" s="72"/>
      <c r="Q76" s="72"/>
    </row>
    <row r="77" spans="1:17" ht="12.75">
      <c r="A77" s="62">
        <f t="shared" si="6"/>
        <v>3</v>
      </c>
      <c r="B77" s="63">
        <f t="shared" si="7"/>
        <v>2010</v>
      </c>
      <c r="C77" s="52">
        <v>40238</v>
      </c>
      <c r="D77" s="250">
        <v>415.734</v>
      </c>
      <c r="E77" s="53">
        <f t="shared" si="8"/>
        <v>0.009447775001638847</v>
      </c>
      <c r="F77" s="53">
        <f t="shared" si="9"/>
        <v>0.38996379101094303</v>
      </c>
      <c r="G77" s="70" t="str">
        <f t="shared" si="4"/>
        <v> </v>
      </c>
      <c r="H77" s="71"/>
      <c r="I77" s="73"/>
      <c r="K77" s="66">
        <v>0.0036</v>
      </c>
      <c r="L77" s="56">
        <f ca="1" t="shared" si="5"/>
        <v>0</v>
      </c>
      <c r="M77" s="67">
        <v>40269</v>
      </c>
      <c r="N77" s="72"/>
      <c r="O77" s="72"/>
      <c r="P77" s="72"/>
      <c r="Q77" s="72"/>
    </row>
    <row r="78" spans="1:17" ht="12.75">
      <c r="A78" s="68">
        <f t="shared" si="6"/>
        <v>4</v>
      </c>
      <c r="B78" s="69">
        <f t="shared" si="7"/>
        <v>2010</v>
      </c>
      <c r="C78" s="45">
        <v>40269</v>
      </c>
      <c r="D78" s="249">
        <v>418.917</v>
      </c>
      <c r="E78" s="46">
        <f t="shared" si="8"/>
        <v>0.007656337946860159</v>
      </c>
      <c r="F78" s="46">
        <f t="shared" si="9"/>
        <v>0.4006058235288217</v>
      </c>
      <c r="G78" s="70" t="str">
        <f t="shared" si="4"/>
        <v> </v>
      </c>
      <c r="H78" s="71"/>
      <c r="I78" s="73"/>
      <c r="K78" s="66">
        <v>0.0032</v>
      </c>
      <c r="L78" s="56">
        <f ca="1" t="shared" si="5"/>
        <v>0</v>
      </c>
      <c r="M78" s="67">
        <v>40299</v>
      </c>
      <c r="N78" s="72"/>
      <c r="O78" s="72"/>
      <c r="P78" s="72"/>
      <c r="Q78" s="72"/>
    </row>
    <row r="79" spans="1:17" ht="12.75">
      <c r="A79" s="62">
        <f t="shared" si="6"/>
        <v>5</v>
      </c>
      <c r="B79" s="63">
        <f t="shared" si="7"/>
        <v>2010</v>
      </c>
      <c r="C79" s="52">
        <v>40299</v>
      </c>
      <c r="D79" s="250">
        <f>'[1]IGP-M'!D79</f>
        <v>423.885</v>
      </c>
      <c r="E79" s="53">
        <f t="shared" si="8"/>
        <v>0.011859151096756726</v>
      </c>
      <c r="F79" s="53">
        <f t="shared" si="9"/>
        <v>0.41721581961704746</v>
      </c>
      <c r="G79" s="70" t="str">
        <f t="shared" si="4"/>
        <v> </v>
      </c>
      <c r="H79" s="71"/>
      <c r="I79" s="73"/>
      <c r="K79" s="66">
        <v>0.0031</v>
      </c>
      <c r="L79" s="56">
        <f ca="1" t="shared" si="5"/>
        <v>0</v>
      </c>
      <c r="M79" s="67">
        <v>40330</v>
      </c>
      <c r="N79" s="72"/>
      <c r="O79" s="72"/>
      <c r="P79" s="72"/>
      <c r="Q79" s="72"/>
    </row>
    <row r="80" spans="1:17" ht="12.75">
      <c r="A80" s="68">
        <f t="shared" si="6"/>
        <v>6</v>
      </c>
      <c r="B80" s="69">
        <f t="shared" si="7"/>
        <v>2010</v>
      </c>
      <c r="C80" s="45">
        <v>40330</v>
      </c>
      <c r="D80" s="249">
        <f>'[1]IGP-M'!D80</f>
        <v>427.489</v>
      </c>
      <c r="E80" s="46">
        <f t="shared" si="8"/>
        <v>0.008502306049990027</v>
      </c>
      <c r="F80" s="46">
        <f t="shared" si="9"/>
        <v>0.42926542225431885</v>
      </c>
      <c r="G80" s="70" t="str">
        <f t="shared" si="4"/>
        <v> </v>
      </c>
      <c r="H80" s="71"/>
      <c r="I80" s="73"/>
      <c r="K80" s="66">
        <v>0.003</v>
      </c>
      <c r="L80" s="56">
        <f ca="1" t="shared" si="5"/>
        <v>0</v>
      </c>
      <c r="M80" s="67">
        <v>40360</v>
      </c>
      <c r="N80" s="72"/>
      <c r="O80" s="72"/>
      <c r="P80" s="72"/>
      <c r="Q80" s="72"/>
    </row>
    <row r="81" spans="1:17" ht="12.75">
      <c r="A81" s="62">
        <f t="shared" si="6"/>
        <v>7</v>
      </c>
      <c r="B81" s="63">
        <f t="shared" si="7"/>
        <v>2010</v>
      </c>
      <c r="C81" s="52">
        <v>40360</v>
      </c>
      <c r="D81" s="250">
        <f>'[1]IGP-M'!D81</f>
        <v>428.15</v>
      </c>
      <c r="E81" s="53">
        <f t="shared" si="8"/>
        <v>0.0015462386166662512</v>
      </c>
      <c r="F81" s="53">
        <f t="shared" si="9"/>
        <v>0.4314754076436742</v>
      </c>
      <c r="G81" s="70" t="str">
        <f t="shared" si="4"/>
        <v> </v>
      </c>
      <c r="H81" s="71"/>
      <c r="I81" s="73"/>
      <c r="K81" s="66">
        <v>0.0031</v>
      </c>
      <c r="L81" s="56">
        <f ca="1" t="shared" si="5"/>
        <v>0</v>
      </c>
      <c r="M81" s="67">
        <v>40391</v>
      </c>
      <c r="N81" s="72"/>
      <c r="O81" s="72"/>
      <c r="P81" s="72"/>
      <c r="Q81" s="72"/>
    </row>
    <row r="82" spans="1:17" ht="12.75">
      <c r="A82" s="68">
        <f t="shared" si="6"/>
        <v>8</v>
      </c>
      <c r="B82" s="69">
        <f t="shared" si="7"/>
        <v>2010</v>
      </c>
      <c r="C82" s="45">
        <v>40391</v>
      </c>
      <c r="D82" s="249">
        <f>'[1]IGP-M'!D82</f>
        <v>431.445</v>
      </c>
      <c r="E82" s="46">
        <f t="shared" si="8"/>
        <v>0.007695900969286518</v>
      </c>
      <c r="F82" s="46">
        <f t="shared" si="9"/>
        <v>0.44249190062086896</v>
      </c>
      <c r="G82" s="70" t="str">
        <f t="shared" si="4"/>
        <v> </v>
      </c>
      <c r="H82" s="71"/>
      <c r="I82" s="73"/>
      <c r="K82" s="66">
        <v>0.0032</v>
      </c>
      <c r="L82" s="56">
        <f ca="1" t="shared" si="5"/>
        <v>0</v>
      </c>
      <c r="M82" s="67">
        <v>40422</v>
      </c>
      <c r="N82" s="72"/>
      <c r="O82" s="72"/>
      <c r="P82" s="72"/>
      <c r="Q82" s="72"/>
    </row>
    <row r="83" spans="1:17" ht="12.75">
      <c r="A83" s="62">
        <f t="shared" si="6"/>
        <v>9</v>
      </c>
      <c r="B83" s="63">
        <f t="shared" si="7"/>
        <v>2010</v>
      </c>
      <c r="C83" s="52">
        <v>40422</v>
      </c>
      <c r="D83" s="250">
        <f>'[1]IGP-M'!D83</f>
        <v>436.423</v>
      </c>
      <c r="E83" s="53">
        <f t="shared" si="8"/>
        <v>0.01153797123619471</v>
      </c>
      <c r="F83" s="53">
        <f t="shared" si="9"/>
        <v>0.4591353306786763</v>
      </c>
      <c r="G83" s="70" t="str">
        <f t="shared" si="4"/>
        <v> </v>
      </c>
      <c r="H83" s="71"/>
      <c r="I83" s="73"/>
      <c r="K83" s="66">
        <v>0.0036</v>
      </c>
      <c r="L83" s="56">
        <f ca="1" t="shared" si="5"/>
        <v>0</v>
      </c>
      <c r="M83" s="67">
        <v>40452</v>
      </c>
      <c r="N83" s="72"/>
      <c r="O83" s="72"/>
      <c r="P83" s="72"/>
      <c r="Q83" s="72"/>
    </row>
    <row r="84" spans="1:17" ht="12.75">
      <c r="A84" s="68">
        <f t="shared" si="6"/>
        <v>10</v>
      </c>
      <c r="B84" s="69">
        <f t="shared" si="7"/>
        <v>2010</v>
      </c>
      <c r="C84" s="45">
        <v>40452</v>
      </c>
      <c r="D84" s="249">
        <f>'[1]IGP-M'!D84</f>
        <v>440.829</v>
      </c>
      <c r="E84" s="46">
        <f t="shared" si="8"/>
        <v>0.010095709896132954</v>
      </c>
      <c r="F84" s="46">
        <f t="shared" si="9"/>
        <v>0.47386633767640607</v>
      </c>
      <c r="G84" s="70" t="str">
        <f t="shared" si="4"/>
        <v> </v>
      </c>
      <c r="H84" s="71"/>
      <c r="I84" s="73"/>
      <c r="K84" s="66">
        <v>0.004</v>
      </c>
      <c r="L84" s="56">
        <f ca="1" t="shared" si="5"/>
        <v>0</v>
      </c>
      <c r="M84" s="67">
        <v>40483</v>
      </c>
      <c r="N84" s="72"/>
      <c r="O84" s="72"/>
      <c r="P84" s="72"/>
      <c r="Q84" s="72"/>
    </row>
    <row r="85" spans="1:17" ht="12.75">
      <c r="A85" s="62">
        <f t="shared" si="6"/>
        <v>11</v>
      </c>
      <c r="B85" s="63">
        <f t="shared" si="7"/>
        <v>2010</v>
      </c>
      <c r="C85" s="52">
        <v>40483</v>
      </c>
      <c r="D85" s="250">
        <f>'[1]IGP-M'!D85</f>
        <v>447.206</v>
      </c>
      <c r="E85" s="53">
        <f t="shared" si="8"/>
        <v>0.014465926697200038</v>
      </c>
      <c r="F85" s="53">
        <f t="shared" si="9"/>
        <v>0.49518718007870377</v>
      </c>
      <c r="G85" s="70" t="str">
        <f t="shared" si="4"/>
        <v> </v>
      </c>
      <c r="H85" s="71"/>
      <c r="I85" s="73"/>
      <c r="K85" s="66">
        <v>0.0043</v>
      </c>
      <c r="L85" s="56">
        <f ca="1" t="shared" si="5"/>
        <v>0</v>
      </c>
      <c r="M85" s="67">
        <v>40513</v>
      </c>
      <c r="N85" s="72"/>
      <c r="O85" s="72"/>
      <c r="P85" s="72"/>
      <c r="Q85" s="72"/>
    </row>
    <row r="86" spans="1:17" ht="12.75">
      <c r="A86" s="68">
        <f t="shared" si="6"/>
        <v>12</v>
      </c>
      <c r="B86" s="69">
        <f t="shared" si="7"/>
        <v>2010</v>
      </c>
      <c r="C86" s="45">
        <v>40513</v>
      </c>
      <c r="D86" s="249">
        <f>'[1]IGP-M'!D86</f>
        <v>450.301</v>
      </c>
      <c r="E86" s="46">
        <f t="shared" si="8"/>
        <v>0.006920747932720017</v>
      </c>
      <c r="F86" s="46">
        <f t="shared" si="9"/>
        <v>0.5055349936642628</v>
      </c>
      <c r="G86" s="70" t="str">
        <f t="shared" si="4"/>
        <v> </v>
      </c>
      <c r="H86" s="71"/>
      <c r="I86" s="73"/>
      <c r="K86" s="66">
        <v>0.0047</v>
      </c>
      <c r="L86" s="56">
        <f ca="1" t="shared" si="5"/>
        <v>0</v>
      </c>
      <c r="M86" s="67">
        <v>40544</v>
      </c>
      <c r="N86" s="72"/>
      <c r="O86" s="72"/>
      <c r="P86" s="72"/>
      <c r="Q86" s="72"/>
    </row>
    <row r="87" spans="1:17" ht="12.75">
      <c r="A87" s="62">
        <f t="shared" si="6"/>
        <v>1</v>
      </c>
      <c r="B87" s="63">
        <f t="shared" si="7"/>
        <v>2011</v>
      </c>
      <c r="C87" s="52">
        <v>40544</v>
      </c>
      <c r="D87" s="250">
        <v>453.875</v>
      </c>
      <c r="E87" s="53">
        <f t="shared" si="8"/>
        <v>0.007936913309097626</v>
      </c>
      <c r="F87" s="53">
        <f t="shared" si="9"/>
        <v>0.5174842943927891</v>
      </c>
      <c r="G87" s="70" t="str">
        <f t="shared" si="4"/>
        <v> </v>
      </c>
      <c r="H87" s="71"/>
      <c r="I87" s="73"/>
      <c r="K87" s="66">
        <v>0.005</v>
      </c>
      <c r="L87" s="56">
        <f ca="1" t="shared" si="5"/>
        <v>0</v>
      </c>
      <c r="M87" s="67">
        <v>40575</v>
      </c>
      <c r="N87" s="72"/>
      <c r="O87" s="72"/>
      <c r="P87" s="72"/>
      <c r="Q87" s="72"/>
    </row>
    <row r="88" spans="1:17" ht="12.75">
      <c r="A88" s="68">
        <f t="shared" si="6"/>
        <v>2</v>
      </c>
      <c r="B88" s="69">
        <f t="shared" si="7"/>
        <v>2011</v>
      </c>
      <c r="C88" s="45">
        <v>40575</v>
      </c>
      <c r="D88" s="249">
        <f>'[1]IGP-M'!D88</f>
        <v>458.397</v>
      </c>
      <c r="E88" s="46">
        <f t="shared" si="8"/>
        <v>0.009963095565959756</v>
      </c>
      <c r="F88" s="46">
        <f t="shared" si="9"/>
        <v>0.5326031354376675</v>
      </c>
      <c r="G88" s="70" t="str">
        <f t="shared" si="4"/>
        <v> </v>
      </c>
      <c r="H88" s="71"/>
      <c r="I88" s="73"/>
      <c r="K88" s="66">
        <v>0.004</v>
      </c>
      <c r="L88" s="56">
        <f ca="1" t="shared" si="5"/>
        <v>0</v>
      </c>
      <c r="M88" s="67">
        <v>40603</v>
      </c>
      <c r="N88" s="72"/>
      <c r="O88" s="72"/>
      <c r="P88" s="72"/>
      <c r="Q88" s="72"/>
    </row>
    <row r="89" spans="1:17" ht="12.75">
      <c r="A89" s="62">
        <f t="shared" si="6"/>
        <v>3</v>
      </c>
      <c r="B89" s="63">
        <f t="shared" si="7"/>
        <v>2011</v>
      </c>
      <c r="C89" s="52">
        <v>40603</v>
      </c>
      <c r="D89" s="250">
        <f>'[1]IGP-M'!D89</f>
        <v>461.249</v>
      </c>
      <c r="E89" s="53">
        <f t="shared" si="8"/>
        <v>0.006221681206465268</v>
      </c>
      <c r="F89" s="53">
        <f t="shared" si="9"/>
        <v>0.5421385035623896</v>
      </c>
      <c r="G89" s="70" t="str">
        <f t="shared" si="4"/>
        <v> </v>
      </c>
      <c r="H89" s="71"/>
      <c r="I89" s="73"/>
      <c r="K89" s="66">
        <v>0.0036</v>
      </c>
      <c r="L89" s="56">
        <f ca="1" t="shared" si="5"/>
        <v>0</v>
      </c>
      <c r="M89" s="67">
        <v>40634</v>
      </c>
      <c r="N89" s="72"/>
      <c r="O89" s="72"/>
      <c r="P89" s="72"/>
      <c r="Q89" s="72"/>
    </row>
    <row r="90" spans="1:17" ht="12.75">
      <c r="A90" s="68">
        <f t="shared" si="6"/>
        <v>4</v>
      </c>
      <c r="B90" s="69">
        <f t="shared" si="7"/>
        <v>2011</v>
      </c>
      <c r="C90" s="45">
        <v>40634</v>
      </c>
      <c r="D90" s="249">
        <f>'[1]IGP-M'!D90</f>
        <v>463.311</v>
      </c>
      <c r="E90" s="46">
        <f t="shared" si="8"/>
        <v>0.004470470396683579</v>
      </c>
      <c r="F90" s="46">
        <f t="shared" si="9"/>
        <v>0.5490325880901514</v>
      </c>
      <c r="G90" s="70" t="str">
        <f t="shared" si="4"/>
        <v> </v>
      </c>
      <c r="H90" s="71"/>
      <c r="I90" s="73"/>
      <c r="K90" s="66">
        <v>0.0032</v>
      </c>
      <c r="L90" s="56">
        <f ca="1" t="shared" si="5"/>
        <v>0</v>
      </c>
      <c r="M90" s="67">
        <v>40664</v>
      </c>
      <c r="N90" s="72"/>
      <c r="O90" s="72"/>
      <c r="P90" s="72"/>
      <c r="Q90" s="72"/>
    </row>
    <row r="91" spans="1:17" ht="12.75">
      <c r="A91" s="62">
        <f t="shared" si="6"/>
        <v>5</v>
      </c>
      <c r="B91" s="63">
        <f t="shared" si="7"/>
        <v>2011</v>
      </c>
      <c r="C91" s="52">
        <v>40664</v>
      </c>
      <c r="D91" s="250">
        <f>'[1]IGP-M'!D91</f>
        <v>465.311</v>
      </c>
      <c r="E91" s="53">
        <f t="shared" si="8"/>
        <v>0.004316754836384273</v>
      </c>
      <c r="F91" s="53">
        <f t="shared" si="9"/>
        <v>0.5557193820065063</v>
      </c>
      <c r="G91" s="70" t="str">
        <f t="shared" si="4"/>
        <v> </v>
      </c>
      <c r="H91" s="71"/>
      <c r="I91" s="73"/>
      <c r="K91" s="66">
        <v>0.0031</v>
      </c>
      <c r="L91" s="56">
        <f ca="1" t="shared" si="5"/>
        <v>0</v>
      </c>
      <c r="M91" s="67">
        <v>40695</v>
      </c>
      <c r="N91" s="72"/>
      <c r="O91" s="72"/>
      <c r="P91" s="72"/>
      <c r="Q91" s="72"/>
    </row>
    <row r="92" spans="1:17" ht="12.75">
      <c r="A92" s="68">
        <f t="shared" si="6"/>
        <v>6</v>
      </c>
      <c r="B92" s="69">
        <f t="shared" si="7"/>
        <v>2011</v>
      </c>
      <c r="C92" s="45">
        <v>40695</v>
      </c>
      <c r="D92" s="249">
        <f>'[1]IGP-M'!D92</f>
        <v>464.463</v>
      </c>
      <c r="E92" s="46">
        <f t="shared" si="8"/>
        <v>-0.001822437036734459</v>
      </c>
      <c r="F92" s="46">
        <f t="shared" si="9"/>
        <v>0.552884181385972</v>
      </c>
      <c r="G92" s="70" t="str">
        <f t="shared" si="4"/>
        <v> </v>
      </c>
      <c r="H92" s="71"/>
      <c r="I92" s="73"/>
      <c r="K92" s="66">
        <v>0.003</v>
      </c>
      <c r="L92" s="56">
        <f ca="1" t="shared" si="5"/>
        <v>0</v>
      </c>
      <c r="M92" s="67">
        <v>40725</v>
      </c>
      <c r="N92" s="72"/>
      <c r="O92" s="72"/>
      <c r="P92" s="72"/>
      <c r="Q92" s="72"/>
    </row>
    <row r="93" spans="1:17" ht="12.75">
      <c r="A93" s="62">
        <f t="shared" si="6"/>
        <v>7</v>
      </c>
      <c r="B93" s="63">
        <f t="shared" si="7"/>
        <v>2011</v>
      </c>
      <c r="C93" s="52">
        <v>40725</v>
      </c>
      <c r="D93" s="250">
        <f>'[1]IGP-M'!D93</f>
        <v>463.927</v>
      </c>
      <c r="E93" s="53">
        <f t="shared" si="8"/>
        <v>-0.001154020880027029</v>
      </c>
      <c r="F93" s="53">
        <f t="shared" si="9"/>
        <v>0.5510921206163888</v>
      </c>
      <c r="G93" s="70" t="str">
        <f t="shared" si="4"/>
        <v> </v>
      </c>
      <c r="H93" s="71"/>
      <c r="I93" s="73"/>
      <c r="K93" s="66">
        <v>0.0031</v>
      </c>
      <c r="L93" s="56">
        <f ca="1" t="shared" si="5"/>
        <v>0</v>
      </c>
      <c r="M93" s="67">
        <v>40756</v>
      </c>
      <c r="N93" s="72"/>
      <c r="O93" s="72"/>
      <c r="P93" s="72"/>
      <c r="Q93" s="72"/>
    </row>
    <row r="94" spans="1:17" ht="12.75">
      <c r="A94" s="68">
        <f t="shared" si="6"/>
        <v>8</v>
      </c>
      <c r="B94" s="69">
        <f t="shared" si="7"/>
        <v>2011</v>
      </c>
      <c r="C94" s="45">
        <v>40756</v>
      </c>
      <c r="D94" s="249">
        <f>'[1]IGP-M'!D94</f>
        <v>465.968</v>
      </c>
      <c r="E94" s="46">
        <f t="shared" si="8"/>
        <v>0.004399399043383934</v>
      </c>
      <c r="F94" s="46">
        <f t="shared" si="9"/>
        <v>0.5579159938080289</v>
      </c>
      <c r="G94" s="70" t="str">
        <f t="shared" si="4"/>
        <v> </v>
      </c>
      <c r="H94" s="71"/>
      <c r="I94" s="73"/>
      <c r="K94" s="66">
        <v>0.0032</v>
      </c>
      <c r="L94" s="56">
        <f ca="1" t="shared" si="5"/>
        <v>0</v>
      </c>
      <c r="M94" s="67">
        <v>40787</v>
      </c>
      <c r="N94" s="72"/>
      <c r="O94" s="72"/>
      <c r="P94" s="72"/>
      <c r="Q94" s="72"/>
    </row>
    <row r="95" spans="1:17" ht="12.75">
      <c r="A95" s="62">
        <f t="shared" si="6"/>
        <v>9</v>
      </c>
      <c r="B95" s="63">
        <f t="shared" si="7"/>
        <v>2011</v>
      </c>
      <c r="C95" s="52">
        <v>40787</v>
      </c>
      <c r="D95" s="250">
        <f>'[1]IGP-M'!D95</f>
        <v>468.975</v>
      </c>
      <c r="E95" s="53">
        <f t="shared" si="8"/>
        <v>0.006453232840023304</v>
      </c>
      <c r="F95" s="53">
        <f t="shared" si="9"/>
        <v>0.5679695884612685</v>
      </c>
      <c r="G95" s="70" t="str">
        <f t="shared" si="4"/>
        <v> </v>
      </c>
      <c r="H95" s="71"/>
      <c r="I95" s="73"/>
      <c r="K95" s="66">
        <v>0.0036</v>
      </c>
      <c r="L95" s="56">
        <f ca="1" t="shared" si="5"/>
        <v>0</v>
      </c>
      <c r="M95" s="67">
        <v>40817</v>
      </c>
      <c r="N95" s="72"/>
      <c r="O95" s="72"/>
      <c r="P95" s="72"/>
      <c r="Q95" s="72"/>
    </row>
    <row r="96" spans="1:17" ht="12.75">
      <c r="A96" s="68">
        <f t="shared" si="6"/>
        <v>10</v>
      </c>
      <c r="B96" s="69">
        <f t="shared" si="7"/>
        <v>2011</v>
      </c>
      <c r="C96" s="45">
        <v>40817</v>
      </c>
      <c r="D96" s="249">
        <f>'[1]IGP-M'!D96</f>
        <v>471.466</v>
      </c>
      <c r="E96" s="46">
        <f t="shared" si="8"/>
        <v>0.0053115837731221305</v>
      </c>
      <c r="F96" s="46">
        <f t="shared" si="9"/>
        <v>0.5762979902840886</v>
      </c>
      <c r="G96" s="70" t="str">
        <f t="shared" si="4"/>
        <v> </v>
      </c>
      <c r="H96" s="71"/>
      <c r="I96" s="73"/>
      <c r="K96" s="66">
        <v>0.004</v>
      </c>
      <c r="L96" s="56">
        <f ca="1" t="shared" si="5"/>
        <v>0</v>
      </c>
      <c r="M96" s="67">
        <v>40848</v>
      </c>
      <c r="N96" s="72"/>
      <c r="O96" s="72"/>
      <c r="P96" s="72"/>
      <c r="Q96" s="72"/>
    </row>
    <row r="97" spans="1:17" ht="12.75">
      <c r="A97" s="62">
        <f t="shared" si="6"/>
        <v>11</v>
      </c>
      <c r="B97" s="63">
        <f t="shared" si="7"/>
        <v>2011</v>
      </c>
      <c r="C97" s="52">
        <v>40848</v>
      </c>
      <c r="D97" s="250">
        <f>'[1]IGP-M'!D97</f>
        <v>473.808</v>
      </c>
      <c r="E97" s="53">
        <f t="shared" si="8"/>
        <v>0.0049674843997233875</v>
      </c>
      <c r="F97" s="53">
        <f t="shared" si="9"/>
        <v>0.5841282259601401</v>
      </c>
      <c r="G97" s="70" t="str">
        <f t="shared" si="4"/>
        <v> </v>
      </c>
      <c r="H97" s="71"/>
      <c r="I97" s="73"/>
      <c r="K97" s="66">
        <v>0.0043</v>
      </c>
      <c r="L97" s="56">
        <f ca="1" t="shared" si="5"/>
        <v>0</v>
      </c>
      <c r="M97" s="67">
        <v>40878</v>
      </c>
      <c r="N97" s="72"/>
      <c r="O97" s="72"/>
      <c r="P97" s="72"/>
      <c r="Q97" s="72"/>
    </row>
    <row r="98" spans="1:17" ht="12.75">
      <c r="A98" s="68">
        <f t="shared" si="6"/>
        <v>12</v>
      </c>
      <c r="B98" s="69">
        <f t="shared" si="7"/>
        <v>2011</v>
      </c>
      <c r="C98" s="45">
        <v>40878</v>
      </c>
      <c r="D98" s="249">
        <f>'[1]IGP-M'!D98</f>
        <v>473.252</v>
      </c>
      <c r="E98" s="46">
        <f t="shared" si="8"/>
        <v>-0.0011734711106607953</v>
      </c>
      <c r="F98" s="46">
        <f t="shared" si="9"/>
        <v>0.5822692972513934</v>
      </c>
      <c r="G98" s="70" t="str">
        <f t="shared" si="4"/>
        <v> </v>
      </c>
      <c r="H98" s="71"/>
      <c r="I98" s="73"/>
      <c r="K98" s="66">
        <v>0.0047</v>
      </c>
      <c r="L98" s="56">
        <f ca="1" t="shared" si="5"/>
        <v>0</v>
      </c>
      <c r="M98" s="67">
        <v>40909</v>
      </c>
      <c r="N98" s="72"/>
      <c r="O98" s="72"/>
      <c r="P98" s="72"/>
      <c r="Q98" s="72"/>
    </row>
    <row r="99" spans="1:17" ht="12.75">
      <c r="A99" s="62">
        <f t="shared" si="6"/>
        <v>1</v>
      </c>
      <c r="B99" s="63">
        <f t="shared" si="7"/>
        <v>2012</v>
      </c>
      <c r="C99" s="52">
        <v>40909</v>
      </c>
      <c r="D99" s="250">
        <v>474.429</v>
      </c>
      <c r="E99" s="53">
        <f t="shared" si="8"/>
        <v>0.0024870470700597558</v>
      </c>
      <c r="F99" s="53">
        <f t="shared" si="9"/>
        <v>0.5862044754711682</v>
      </c>
      <c r="G99" s="70" t="str">
        <f t="shared" si="4"/>
        <v> </v>
      </c>
      <c r="H99" s="71"/>
      <c r="I99" s="73"/>
      <c r="K99" s="66">
        <v>0.005</v>
      </c>
      <c r="L99" s="56">
        <f ca="1" t="shared" si="5"/>
        <v>0</v>
      </c>
      <c r="M99" s="67">
        <v>40940</v>
      </c>
      <c r="N99" s="72"/>
      <c r="O99" s="72"/>
      <c r="P99" s="72"/>
      <c r="Q99" s="72"/>
    </row>
    <row r="100" spans="1:17" ht="12.75">
      <c r="A100" s="68">
        <f t="shared" si="6"/>
        <v>2</v>
      </c>
      <c r="B100" s="69">
        <f t="shared" si="7"/>
        <v>2012</v>
      </c>
      <c r="C100" s="45">
        <v>40940</v>
      </c>
      <c r="D100" s="249">
        <f>'[1]IGP-M'!D100</f>
        <v>474.138</v>
      </c>
      <c r="E100" s="46">
        <f t="shared" si="8"/>
        <v>-0.0006133689129458331</v>
      </c>
      <c r="F100" s="46">
        <f t="shared" si="9"/>
        <v>0.5852315469563385</v>
      </c>
      <c r="G100" s="70" t="str">
        <f t="shared" si="4"/>
        <v> </v>
      </c>
      <c r="H100" s="71"/>
      <c r="I100" s="73"/>
      <c r="K100" s="66">
        <v>0.004</v>
      </c>
      <c r="L100" s="56">
        <f ca="1" t="shared" si="5"/>
        <v>0</v>
      </c>
      <c r="M100" s="67">
        <v>40969</v>
      </c>
      <c r="N100" s="72"/>
      <c r="O100" s="72"/>
      <c r="P100" s="72"/>
      <c r="Q100" s="72"/>
    </row>
    <row r="101" spans="1:17" ht="12.75">
      <c r="A101" s="62">
        <f t="shared" si="6"/>
        <v>3</v>
      </c>
      <c r="B101" s="63">
        <f t="shared" si="7"/>
        <v>2012</v>
      </c>
      <c r="C101" s="52">
        <v>40969</v>
      </c>
      <c r="D101" s="250">
        <f>'[1]IGP-M'!D101</f>
        <v>476.166</v>
      </c>
      <c r="E101" s="53">
        <f t="shared" si="8"/>
        <v>0.0042772357414930795</v>
      </c>
      <c r="F101" s="53">
        <f t="shared" si="9"/>
        <v>0.5920119559875225</v>
      </c>
      <c r="G101" s="70" t="str">
        <f t="shared" si="4"/>
        <v> </v>
      </c>
      <c r="H101" s="71"/>
      <c r="I101" s="73"/>
      <c r="K101" s="66">
        <v>0.0036</v>
      </c>
      <c r="L101" s="56">
        <f ca="1" t="shared" si="5"/>
        <v>0</v>
      </c>
      <c r="M101" s="67">
        <v>41000</v>
      </c>
      <c r="N101" s="72"/>
      <c r="O101" s="72"/>
      <c r="P101" s="72"/>
      <c r="Q101" s="72"/>
    </row>
    <row r="102" spans="1:17" ht="12.75">
      <c r="A102" s="68">
        <f t="shared" si="6"/>
        <v>4</v>
      </c>
      <c r="B102" s="69">
        <f t="shared" si="7"/>
        <v>2012</v>
      </c>
      <c r="C102" s="45">
        <v>41000</v>
      </c>
      <c r="D102" s="249">
        <f>'[1]IGP-M'!D102</f>
        <v>480.229</v>
      </c>
      <c r="E102" s="46">
        <f t="shared" si="8"/>
        <v>0.008532738582763155</v>
      </c>
      <c r="F102" s="46">
        <f t="shared" si="9"/>
        <v>0.6055961778285974</v>
      </c>
      <c r="G102" s="70" t="str">
        <f t="shared" si="4"/>
        <v> </v>
      </c>
      <c r="H102" s="71"/>
      <c r="I102" s="73"/>
      <c r="K102" s="66">
        <v>0.0032</v>
      </c>
      <c r="L102" s="56">
        <f ca="1" t="shared" si="5"/>
        <v>0</v>
      </c>
      <c r="M102" s="67">
        <v>41030</v>
      </c>
      <c r="N102" s="72"/>
      <c r="O102" s="72"/>
      <c r="P102" s="72"/>
      <c r="Q102" s="72"/>
    </row>
    <row r="103" spans="1:17" ht="12.75">
      <c r="A103" s="62">
        <f t="shared" si="6"/>
        <v>5</v>
      </c>
      <c r="B103" s="63">
        <f t="shared" si="7"/>
        <v>2012</v>
      </c>
      <c r="C103" s="52">
        <v>41030</v>
      </c>
      <c r="D103" s="250">
        <f>'[1]IGP-M'!D103</f>
        <v>485.14</v>
      </c>
      <c r="E103" s="53">
        <f t="shared" si="8"/>
        <v>0.01022637116875491</v>
      </c>
      <c r="F103" s="53">
        <f t="shared" si="9"/>
        <v>0.6220156002902069</v>
      </c>
      <c r="G103" s="70" t="str">
        <f t="shared" si="4"/>
        <v> </v>
      </c>
      <c r="H103" s="71"/>
      <c r="I103" s="73"/>
      <c r="K103" s="66">
        <v>0.0031</v>
      </c>
      <c r="L103" s="56">
        <f ca="1" t="shared" si="5"/>
        <v>0</v>
      </c>
      <c r="M103" s="67">
        <v>41061</v>
      </c>
      <c r="N103" s="72"/>
      <c r="O103" s="72"/>
      <c r="P103" s="72"/>
      <c r="Q103" s="72"/>
    </row>
    <row r="104" spans="1:17" ht="12.75">
      <c r="A104" s="68">
        <f t="shared" si="6"/>
        <v>6</v>
      </c>
      <c r="B104" s="69">
        <f t="shared" si="7"/>
        <v>2012</v>
      </c>
      <c r="C104" s="45">
        <v>41061</v>
      </c>
      <c r="D104" s="249">
        <f>'[1]IGP-M'!D104</f>
        <v>488.342</v>
      </c>
      <c r="E104" s="46">
        <f t="shared" si="8"/>
        <v>0.006600156655810707</v>
      </c>
      <c r="F104" s="46">
        <f t="shared" si="9"/>
        <v>0.6327211573502911</v>
      </c>
      <c r="G104" s="70" t="str">
        <f aca="true" t="shared" si="10" ref="G104:G167">IF(AND(L104=0,D104=0),"&lt;-- Preencha o valor do IGP-M na coluna D"," ")</f>
        <v> </v>
      </c>
      <c r="H104" s="71"/>
      <c r="I104" s="73"/>
      <c r="K104" s="66">
        <v>0.003</v>
      </c>
      <c r="L104" s="56">
        <f aca="true" ca="1" t="shared" si="11" ref="L104:L167">IF(TODAY()&gt;M104,0,1)</f>
        <v>0</v>
      </c>
      <c r="M104" s="67">
        <v>41091</v>
      </c>
      <c r="N104" s="72"/>
      <c r="O104" s="72"/>
      <c r="P104" s="72"/>
      <c r="Q104" s="72"/>
    </row>
    <row r="105" spans="1:17" ht="12.75">
      <c r="A105" s="62">
        <f t="shared" si="6"/>
        <v>7</v>
      </c>
      <c r="B105" s="63">
        <f t="shared" si="7"/>
        <v>2012</v>
      </c>
      <c r="C105" s="52">
        <v>41091</v>
      </c>
      <c r="D105" s="250">
        <f>'[1]IGP-M'!D105</f>
        <v>494.891</v>
      </c>
      <c r="E105" s="53">
        <f t="shared" si="8"/>
        <v>0.013410683496402287</v>
      </c>
      <c r="F105" s="53">
        <f t="shared" si="9"/>
        <v>0.6546170640293953</v>
      </c>
      <c r="G105" s="70" t="str">
        <f t="shared" si="10"/>
        <v> </v>
      </c>
      <c r="H105" s="71"/>
      <c r="I105" s="73"/>
      <c r="K105" s="66">
        <v>0.0031</v>
      </c>
      <c r="L105" s="56">
        <f ca="1" t="shared" si="11"/>
        <v>0</v>
      </c>
      <c r="M105" s="67">
        <v>41122</v>
      </c>
      <c r="N105" s="72"/>
      <c r="O105" s="72"/>
      <c r="P105" s="72"/>
      <c r="Q105" s="72"/>
    </row>
    <row r="106" spans="1:17" ht="12.75">
      <c r="A106" s="68">
        <f t="shared" si="6"/>
        <v>8</v>
      </c>
      <c r="B106" s="69">
        <f t="shared" si="7"/>
        <v>2012</v>
      </c>
      <c r="C106" s="45">
        <v>41122</v>
      </c>
      <c r="D106" s="249">
        <f>'[1]IGP-M'!D106</f>
        <v>501.957</v>
      </c>
      <c r="E106" s="46">
        <f t="shared" si="8"/>
        <v>0.014277891495299011</v>
      </c>
      <c r="F106" s="46">
        <f t="shared" si="9"/>
        <v>0.6782415069358771</v>
      </c>
      <c r="G106" s="70" t="str">
        <f t="shared" si="10"/>
        <v> </v>
      </c>
      <c r="H106" s="71"/>
      <c r="I106" s="73"/>
      <c r="K106" s="66">
        <v>0.0032</v>
      </c>
      <c r="L106" s="56">
        <f ca="1" t="shared" si="11"/>
        <v>0</v>
      </c>
      <c r="M106" s="67">
        <v>41153</v>
      </c>
      <c r="N106" s="72"/>
      <c r="O106" s="72"/>
      <c r="P106" s="72"/>
      <c r="Q106" s="72"/>
    </row>
    <row r="107" spans="1:17" ht="12.75">
      <c r="A107" s="62">
        <f t="shared" si="6"/>
        <v>9</v>
      </c>
      <c r="B107" s="63">
        <f t="shared" si="7"/>
        <v>2012</v>
      </c>
      <c r="C107" s="52">
        <v>41153</v>
      </c>
      <c r="D107" s="250">
        <f>'[1]IGP-M'!D107</f>
        <v>506.804</v>
      </c>
      <c r="E107" s="53">
        <f t="shared" si="8"/>
        <v>0.009656205611237478</v>
      </c>
      <c r="F107" s="53">
        <f t="shared" si="9"/>
        <v>0.694446951992163</v>
      </c>
      <c r="G107" s="70" t="str">
        <f t="shared" si="10"/>
        <v> </v>
      </c>
      <c r="H107" s="71"/>
      <c r="I107" s="73"/>
      <c r="K107" s="66">
        <v>0.0036</v>
      </c>
      <c r="L107" s="56">
        <f ca="1" t="shared" si="11"/>
        <v>0</v>
      </c>
      <c r="M107" s="67">
        <v>41183</v>
      </c>
      <c r="N107" s="72"/>
      <c r="O107" s="72"/>
      <c r="P107" s="72"/>
      <c r="Q107" s="72"/>
    </row>
    <row r="108" spans="1:17" ht="12.75">
      <c r="A108" s="68">
        <f t="shared" si="6"/>
        <v>10</v>
      </c>
      <c r="B108" s="69">
        <f t="shared" si="7"/>
        <v>2012</v>
      </c>
      <c r="C108" s="45">
        <v>41183</v>
      </c>
      <c r="D108" s="249">
        <f>'[1]IGP-M'!D108</f>
        <v>506.926</v>
      </c>
      <c r="E108" s="46">
        <f t="shared" si="8"/>
        <v>0.0002407242247497443</v>
      </c>
      <c r="F108" s="46">
        <f t="shared" si="9"/>
        <v>0.6948548464210609</v>
      </c>
      <c r="G108" s="70" t="str">
        <f t="shared" si="10"/>
        <v> </v>
      </c>
      <c r="H108" s="71"/>
      <c r="I108" s="73"/>
      <c r="K108" s="66">
        <v>0.004</v>
      </c>
      <c r="L108" s="56">
        <f ca="1" t="shared" si="11"/>
        <v>0</v>
      </c>
      <c r="M108" s="67">
        <v>41214</v>
      </c>
      <c r="N108" s="72"/>
      <c r="O108" s="72"/>
      <c r="P108" s="72"/>
      <c r="Q108" s="72"/>
    </row>
    <row r="109" spans="1:17" ht="12.75">
      <c r="A109" s="62">
        <f t="shared" si="6"/>
        <v>11</v>
      </c>
      <c r="B109" s="63">
        <f t="shared" si="7"/>
        <v>2012</v>
      </c>
      <c r="C109" s="52">
        <v>41214</v>
      </c>
      <c r="D109" s="250">
        <f>'[1]IGP-M'!D109</f>
        <v>506.795</v>
      </c>
      <c r="E109" s="53">
        <f t="shared" si="8"/>
        <v>-0.0002584203611571967</v>
      </c>
      <c r="F109" s="53">
        <f t="shared" si="9"/>
        <v>0.6944168614195396</v>
      </c>
      <c r="G109" s="70" t="str">
        <f t="shared" si="10"/>
        <v> </v>
      </c>
      <c r="H109" s="71"/>
      <c r="I109" s="73"/>
      <c r="K109" s="66">
        <v>0.0043</v>
      </c>
      <c r="L109" s="56">
        <f ca="1" t="shared" si="11"/>
        <v>0</v>
      </c>
      <c r="M109" s="67">
        <v>41244</v>
      </c>
      <c r="N109" s="72"/>
      <c r="O109" s="72"/>
      <c r="P109" s="72"/>
      <c r="Q109" s="72"/>
    </row>
    <row r="110" spans="1:17" ht="12.75">
      <c r="A110" s="68">
        <f t="shared" si="6"/>
        <v>12</v>
      </c>
      <c r="B110" s="69">
        <f t="shared" si="7"/>
        <v>2012</v>
      </c>
      <c r="C110" s="45">
        <v>41244</v>
      </c>
      <c r="D110" s="249">
        <f>'[2]IGP-M'!D110</f>
        <v>510.252</v>
      </c>
      <c r="E110" s="46">
        <f t="shared" si="8"/>
        <v>0.006821298552669219</v>
      </c>
      <c r="F110" s="46">
        <f t="shared" si="9"/>
        <v>0.7059749847039591</v>
      </c>
      <c r="G110" s="70" t="str">
        <f t="shared" si="10"/>
        <v> </v>
      </c>
      <c r="H110" s="71"/>
      <c r="I110" s="73"/>
      <c r="K110" s="66">
        <v>0.0047</v>
      </c>
      <c r="L110" s="56">
        <f ca="1" t="shared" si="11"/>
        <v>0</v>
      </c>
      <c r="M110" s="67">
        <v>41275</v>
      </c>
      <c r="N110" s="72"/>
      <c r="O110" s="72"/>
      <c r="P110" s="72"/>
      <c r="Q110" s="72"/>
    </row>
    <row r="111" spans="1:17" ht="12.75">
      <c r="A111" s="62">
        <f t="shared" si="6"/>
        <v>1</v>
      </c>
      <c r="B111" s="63">
        <f t="shared" si="7"/>
        <v>2013</v>
      </c>
      <c r="C111" s="52">
        <v>41275</v>
      </c>
      <c r="D111" s="250">
        <v>511.977</v>
      </c>
      <c r="E111" s="53">
        <f t="shared" si="8"/>
        <v>0.0033806824863007456</v>
      </c>
      <c r="F111" s="53">
        <f t="shared" si="9"/>
        <v>0.711742344456815</v>
      </c>
      <c r="G111" s="70" t="str">
        <f t="shared" si="10"/>
        <v> </v>
      </c>
      <c r="H111" s="71"/>
      <c r="I111" s="73"/>
      <c r="K111" s="66">
        <v>0.005</v>
      </c>
      <c r="L111" s="56">
        <f ca="1" t="shared" si="11"/>
        <v>0</v>
      </c>
      <c r="M111" s="67">
        <v>41306</v>
      </c>
      <c r="N111" s="72"/>
      <c r="O111" s="72"/>
      <c r="P111" s="72"/>
      <c r="Q111" s="72"/>
    </row>
    <row r="112" spans="1:17" ht="12.75">
      <c r="A112" s="68">
        <f t="shared" si="6"/>
        <v>2</v>
      </c>
      <c r="B112" s="69">
        <f t="shared" si="7"/>
        <v>2013</v>
      </c>
      <c r="C112" s="45">
        <v>41306</v>
      </c>
      <c r="D112" s="249">
        <f>'[2]IGP-M'!D112</f>
        <v>513.467</v>
      </c>
      <c r="E112" s="46">
        <f t="shared" si="8"/>
        <v>0.0029102869855481828</v>
      </c>
      <c r="F112" s="46">
        <f t="shared" si="9"/>
        <v>0.7167240059244995</v>
      </c>
      <c r="G112" s="70" t="str">
        <f t="shared" si="10"/>
        <v> </v>
      </c>
      <c r="H112" s="71"/>
      <c r="I112" s="73"/>
      <c r="K112" s="66">
        <v>0.004</v>
      </c>
      <c r="L112" s="56">
        <f ca="1" t="shared" si="11"/>
        <v>0</v>
      </c>
      <c r="M112" s="67">
        <v>41334</v>
      </c>
      <c r="N112" s="72"/>
      <c r="O112" s="72"/>
      <c r="P112" s="72"/>
      <c r="Q112" s="72"/>
    </row>
    <row r="113" spans="1:17" ht="12.75">
      <c r="A113" s="62">
        <f t="shared" si="6"/>
        <v>3</v>
      </c>
      <c r="B113" s="63">
        <f t="shared" si="7"/>
        <v>2013</v>
      </c>
      <c r="C113" s="52">
        <v>41334</v>
      </c>
      <c r="D113" s="250">
        <f>'[2]IGP-M'!D113</f>
        <v>514.526</v>
      </c>
      <c r="E113" s="53">
        <f t="shared" si="8"/>
        <v>0.002062449972442204</v>
      </c>
      <c r="F113" s="53">
        <f t="shared" si="9"/>
        <v>0.7202646633032093</v>
      </c>
      <c r="G113" s="70" t="str">
        <f t="shared" si="10"/>
        <v> </v>
      </c>
      <c r="H113" s="71"/>
      <c r="I113" s="73"/>
      <c r="K113" s="66">
        <v>0.0036</v>
      </c>
      <c r="L113" s="56">
        <f ca="1" t="shared" si="11"/>
        <v>0</v>
      </c>
      <c r="M113" s="67">
        <v>41365</v>
      </c>
      <c r="N113" s="72"/>
      <c r="O113" s="72"/>
      <c r="P113" s="72"/>
      <c r="Q113" s="72"/>
    </row>
    <row r="114" spans="1:17" ht="12.75">
      <c r="A114" s="68">
        <f t="shared" si="6"/>
        <v>4</v>
      </c>
      <c r="B114" s="69">
        <f t="shared" si="7"/>
        <v>2013</v>
      </c>
      <c r="C114" s="45">
        <v>41365</v>
      </c>
      <c r="D114" s="249">
        <f>'[2]IGP-M'!D114</f>
        <v>515.276</v>
      </c>
      <c r="E114" s="46">
        <f t="shared" si="8"/>
        <v>0.0014576522857931984</v>
      </c>
      <c r="F114" s="46">
        <f t="shared" si="9"/>
        <v>0.7227722110218424</v>
      </c>
      <c r="G114" s="70" t="str">
        <f t="shared" si="10"/>
        <v> </v>
      </c>
      <c r="H114" s="71"/>
      <c r="I114" s="73"/>
      <c r="K114" s="66">
        <v>0.0032</v>
      </c>
      <c r="L114" s="56">
        <f ca="1" t="shared" si="11"/>
        <v>0</v>
      </c>
      <c r="M114" s="67">
        <v>41395</v>
      </c>
      <c r="N114" s="72"/>
      <c r="O114" s="72"/>
      <c r="P114" s="72"/>
      <c r="Q114" s="72"/>
    </row>
    <row r="115" spans="1:17" ht="12.75">
      <c r="A115" s="62">
        <f t="shared" si="6"/>
        <v>5</v>
      </c>
      <c r="B115" s="63">
        <f t="shared" si="7"/>
        <v>2013</v>
      </c>
      <c r="C115" s="52">
        <v>41395</v>
      </c>
      <c r="D115" s="250">
        <f>'[2]IGP-M'!D115</f>
        <v>515.299</v>
      </c>
      <c r="E115" s="53">
        <f t="shared" si="8"/>
        <v>4.463627259965186E-05</v>
      </c>
      <c r="F115" s="53">
        <f t="shared" si="9"/>
        <v>0.7228491091518805</v>
      </c>
      <c r="G115" s="70" t="str">
        <f t="shared" si="10"/>
        <v> </v>
      </c>
      <c r="H115" s="71"/>
      <c r="I115" s="73"/>
      <c r="K115" s="66">
        <v>0.0031</v>
      </c>
      <c r="L115" s="56">
        <f ca="1" t="shared" si="11"/>
        <v>0</v>
      </c>
      <c r="M115" s="67">
        <v>41426</v>
      </c>
      <c r="N115" s="72"/>
      <c r="O115" s="72"/>
      <c r="P115" s="72"/>
      <c r="Q115" s="72"/>
    </row>
    <row r="116" spans="1:17" ht="12.75">
      <c r="A116" s="68">
        <f t="shared" si="6"/>
        <v>6</v>
      </c>
      <c r="B116" s="69">
        <f t="shared" si="7"/>
        <v>2013</v>
      </c>
      <c r="C116" s="45">
        <v>41426</v>
      </c>
      <c r="D116" s="249">
        <f>'[2]IGP-M'!D116</f>
        <v>519.153</v>
      </c>
      <c r="E116" s="46">
        <f t="shared" si="8"/>
        <v>0.007479152880172535</v>
      </c>
      <c r="F116" s="46">
        <f t="shared" si="9"/>
        <v>0.7357345610286965</v>
      </c>
      <c r="G116" s="70" t="str">
        <f t="shared" si="10"/>
        <v> </v>
      </c>
      <c r="H116" s="71"/>
      <c r="I116" s="73"/>
      <c r="K116" s="66">
        <v>0.003</v>
      </c>
      <c r="L116" s="56">
        <f ca="1" t="shared" si="11"/>
        <v>0</v>
      </c>
      <c r="M116" s="67">
        <v>41456</v>
      </c>
      <c r="N116" s="72"/>
      <c r="O116" s="72"/>
      <c r="P116" s="72"/>
      <c r="Q116" s="72"/>
    </row>
    <row r="117" spans="1:17" ht="12.75">
      <c r="A117" s="62">
        <f t="shared" si="6"/>
        <v>7</v>
      </c>
      <c r="B117" s="63">
        <f t="shared" si="7"/>
        <v>2013</v>
      </c>
      <c r="C117" s="52">
        <v>41456</v>
      </c>
      <c r="D117" s="250">
        <f>'[2]IGP-M'!D117</f>
        <v>520.508</v>
      </c>
      <c r="E117" s="53">
        <f t="shared" si="8"/>
        <v>0.002610020552707981</v>
      </c>
      <c r="F117" s="53">
        <f t="shared" si="9"/>
        <v>0.7402648639070271</v>
      </c>
      <c r="G117" s="70" t="str">
        <f t="shared" si="10"/>
        <v> </v>
      </c>
      <c r="H117" s="71"/>
      <c r="I117" s="73"/>
      <c r="K117" s="66">
        <v>0.0031</v>
      </c>
      <c r="L117" s="56">
        <f ca="1" t="shared" si="11"/>
        <v>0</v>
      </c>
      <c r="M117" s="67">
        <v>41487</v>
      </c>
      <c r="N117" s="72"/>
      <c r="O117" s="72"/>
      <c r="P117" s="72"/>
      <c r="Q117" s="72"/>
    </row>
    <row r="118" spans="1:17" ht="12.75">
      <c r="A118" s="68">
        <f t="shared" si="6"/>
        <v>8</v>
      </c>
      <c r="B118" s="69">
        <f t="shared" si="7"/>
        <v>2013</v>
      </c>
      <c r="C118" s="45">
        <v>41487</v>
      </c>
      <c r="D118" s="249">
        <f>'[2]IGP-M'!D118</f>
        <v>521.27</v>
      </c>
      <c r="E118" s="46">
        <f t="shared" si="8"/>
        <v>0.0014639544445040897</v>
      </c>
      <c r="F118" s="46">
        <f t="shared" si="9"/>
        <v>0.7428125323891581</v>
      </c>
      <c r="G118" s="70" t="str">
        <f t="shared" si="10"/>
        <v> </v>
      </c>
      <c r="H118" s="71"/>
      <c r="I118" s="73"/>
      <c r="K118" s="66">
        <v>0.0032</v>
      </c>
      <c r="L118" s="56">
        <f ca="1" t="shared" si="11"/>
        <v>0</v>
      </c>
      <c r="M118" s="67">
        <v>41518</v>
      </c>
      <c r="N118" s="72"/>
      <c r="O118" s="72"/>
      <c r="P118" s="72"/>
      <c r="Q118" s="72"/>
    </row>
    <row r="119" spans="1:17" ht="12.75">
      <c r="A119" s="62">
        <f t="shared" si="6"/>
        <v>9</v>
      </c>
      <c r="B119" s="63">
        <f t="shared" si="7"/>
        <v>2013</v>
      </c>
      <c r="C119" s="52">
        <v>41518</v>
      </c>
      <c r="D119" s="250">
        <f>'[2]IGP-M'!D119</f>
        <v>529.085</v>
      </c>
      <c r="E119" s="53">
        <f t="shared" si="8"/>
        <v>0.014992230513937166</v>
      </c>
      <c r="F119" s="53">
        <f t="shared" si="9"/>
        <v>0.7689411796173151</v>
      </c>
      <c r="G119" s="70" t="str">
        <f t="shared" si="10"/>
        <v> </v>
      </c>
      <c r="H119" s="71"/>
      <c r="I119" s="73"/>
      <c r="K119" s="66">
        <v>0.0036</v>
      </c>
      <c r="L119" s="56">
        <f ca="1" t="shared" si="11"/>
        <v>0</v>
      </c>
      <c r="M119" s="67">
        <v>41548</v>
      </c>
      <c r="N119" s="72"/>
      <c r="O119" s="72"/>
      <c r="P119" s="72"/>
      <c r="Q119" s="72"/>
    </row>
    <row r="120" spans="1:17" ht="12.75">
      <c r="A120" s="68">
        <f t="shared" si="6"/>
        <v>10</v>
      </c>
      <c r="B120" s="69">
        <f t="shared" si="7"/>
        <v>2013</v>
      </c>
      <c r="C120" s="45">
        <v>41548</v>
      </c>
      <c r="D120" s="249">
        <f>'[2]IGP-M'!D120</f>
        <v>533.621</v>
      </c>
      <c r="E120" s="46">
        <f t="shared" si="8"/>
        <v>0.008573291626109203</v>
      </c>
      <c r="F120" s="46">
        <f t="shared" si="9"/>
        <v>0.7841068282196078</v>
      </c>
      <c r="G120" s="70" t="str">
        <f t="shared" si="10"/>
        <v> </v>
      </c>
      <c r="H120" s="71"/>
      <c r="I120" s="73"/>
      <c r="K120" s="66">
        <v>0.004</v>
      </c>
      <c r="L120" s="56">
        <f ca="1" t="shared" si="11"/>
        <v>0</v>
      </c>
      <c r="M120" s="67">
        <v>41579</v>
      </c>
      <c r="N120" s="72"/>
      <c r="O120" s="72"/>
      <c r="P120" s="72"/>
      <c r="Q120" s="72"/>
    </row>
    <row r="121" spans="1:17" ht="12.75">
      <c r="A121" s="62">
        <f t="shared" si="6"/>
        <v>11</v>
      </c>
      <c r="B121" s="63">
        <f t="shared" si="7"/>
        <v>2013</v>
      </c>
      <c r="C121" s="52">
        <v>41579</v>
      </c>
      <c r="D121" s="250">
        <f>'[2]IGP-M'!D121</f>
        <v>535.168</v>
      </c>
      <c r="E121" s="53">
        <f t="shared" si="8"/>
        <v>0.0028990613188011327</v>
      </c>
      <c r="F121" s="53">
        <f t="shared" si="9"/>
        <v>0.7892790633139084</v>
      </c>
      <c r="G121" s="70" t="str">
        <f t="shared" si="10"/>
        <v> </v>
      </c>
      <c r="H121" s="71"/>
      <c r="I121" s="73"/>
      <c r="K121" s="66">
        <v>0.0043</v>
      </c>
      <c r="L121" s="56">
        <f ca="1" t="shared" si="11"/>
        <v>0</v>
      </c>
      <c r="M121" s="67">
        <v>41609</v>
      </c>
      <c r="N121" s="72"/>
      <c r="O121" s="72"/>
      <c r="P121" s="72"/>
      <c r="Q121" s="72"/>
    </row>
    <row r="122" spans="1:17" ht="12.75">
      <c r="A122" s="68">
        <f t="shared" si="6"/>
        <v>12</v>
      </c>
      <c r="B122" s="69">
        <f t="shared" si="7"/>
        <v>2013</v>
      </c>
      <c r="C122" s="45">
        <v>41609</v>
      </c>
      <c r="D122" s="249">
        <v>538.37</v>
      </c>
      <c r="E122" s="46">
        <f t="shared" si="8"/>
        <v>0.005983167902415598</v>
      </c>
      <c r="F122" s="46">
        <f t="shared" si="9"/>
        <v>0.7999846203739924</v>
      </c>
      <c r="G122" s="70" t="str">
        <f t="shared" si="10"/>
        <v> </v>
      </c>
      <c r="H122" s="71"/>
      <c r="I122" s="73"/>
      <c r="K122" s="66">
        <v>0.0047</v>
      </c>
      <c r="L122" s="56">
        <f ca="1" t="shared" si="11"/>
        <v>0</v>
      </c>
      <c r="M122" s="67">
        <v>41640</v>
      </c>
      <c r="N122" s="72"/>
      <c r="O122" s="72"/>
      <c r="P122" s="72"/>
      <c r="Q122" s="72"/>
    </row>
    <row r="123" spans="1:17" ht="12.75">
      <c r="A123" s="62">
        <f t="shared" si="6"/>
        <v>1</v>
      </c>
      <c r="B123" s="63">
        <f t="shared" si="7"/>
        <v>2014</v>
      </c>
      <c r="C123" s="52">
        <v>41640</v>
      </c>
      <c r="D123" s="250">
        <v>540.959</v>
      </c>
      <c r="E123" s="53">
        <f t="shared" si="8"/>
        <v>0.0048089603804073455</v>
      </c>
      <c r="F123" s="53">
        <f t="shared" si="9"/>
        <v>0.8086406750987138</v>
      </c>
      <c r="G123" s="70" t="str">
        <f t="shared" si="10"/>
        <v> </v>
      </c>
      <c r="H123" s="71"/>
      <c r="I123" s="73"/>
      <c r="K123" s="66">
        <v>0.005</v>
      </c>
      <c r="L123" s="56">
        <f ca="1" t="shared" si="11"/>
        <v>0</v>
      </c>
      <c r="M123" s="67">
        <v>41671</v>
      </c>
      <c r="N123" s="72"/>
      <c r="O123" s="72"/>
      <c r="P123" s="72"/>
      <c r="Q123" s="72"/>
    </row>
    <row r="124" spans="1:17" ht="12.75">
      <c r="A124" s="68">
        <f t="shared" si="6"/>
        <v>2</v>
      </c>
      <c r="B124" s="69">
        <f t="shared" si="7"/>
        <v>2014</v>
      </c>
      <c r="C124" s="45">
        <v>41671</v>
      </c>
      <c r="D124" s="249">
        <v>543.038</v>
      </c>
      <c r="E124" s="46">
        <f t="shared" si="8"/>
        <v>0.0038431748062239812</v>
      </c>
      <c r="F124" s="46">
        <f t="shared" si="9"/>
        <v>0.8155915973747649</v>
      </c>
      <c r="G124" s="70" t="str">
        <f t="shared" si="10"/>
        <v> </v>
      </c>
      <c r="H124" s="71"/>
      <c r="I124" s="73"/>
      <c r="K124" s="66">
        <v>0.004</v>
      </c>
      <c r="L124" s="56">
        <f ca="1" t="shared" si="11"/>
        <v>0</v>
      </c>
      <c r="M124" s="67">
        <v>41699</v>
      </c>
      <c r="N124" s="72"/>
      <c r="O124" s="72"/>
      <c r="P124" s="72"/>
      <c r="Q124" s="72"/>
    </row>
    <row r="125" spans="1:17" ht="12.75">
      <c r="A125" s="62">
        <f t="shared" si="6"/>
        <v>3</v>
      </c>
      <c r="B125" s="63">
        <f t="shared" si="7"/>
        <v>2014</v>
      </c>
      <c r="C125" s="52">
        <v>41699</v>
      </c>
      <c r="D125" s="250">
        <v>552.087</v>
      </c>
      <c r="E125" s="53">
        <f t="shared" si="8"/>
        <v>0.016663658896798994</v>
      </c>
      <c r="F125" s="53">
        <f t="shared" si="9"/>
        <v>0.8458459964493126</v>
      </c>
      <c r="G125" s="70" t="str">
        <f t="shared" si="10"/>
        <v> </v>
      </c>
      <c r="H125" s="71"/>
      <c r="I125" s="73"/>
      <c r="K125" s="66">
        <v>0.0036</v>
      </c>
      <c r="L125" s="56">
        <f ca="1" t="shared" si="11"/>
        <v>0</v>
      </c>
      <c r="M125" s="67">
        <v>41730</v>
      </c>
      <c r="N125" s="72"/>
      <c r="O125" s="72"/>
      <c r="P125" s="72"/>
      <c r="Q125" s="72"/>
    </row>
    <row r="126" spans="1:17" ht="12.75">
      <c r="A126" s="68">
        <f t="shared" si="6"/>
        <v>4</v>
      </c>
      <c r="B126" s="69">
        <f t="shared" si="7"/>
        <v>2014</v>
      </c>
      <c r="C126" s="45">
        <v>41730</v>
      </c>
      <c r="D126" s="249">
        <v>556.42</v>
      </c>
      <c r="E126" s="46">
        <f t="shared" si="8"/>
        <v>0.00784840070496129</v>
      </c>
      <c r="F126" s="46">
        <f t="shared" si="9"/>
        <v>0.8603329354690954</v>
      </c>
      <c r="G126" s="70" t="str">
        <f t="shared" si="10"/>
        <v> </v>
      </c>
      <c r="H126" s="71"/>
      <c r="I126" s="73"/>
      <c r="K126" s="66">
        <v>0.0032</v>
      </c>
      <c r="L126" s="56">
        <f ca="1" t="shared" si="11"/>
        <v>0</v>
      </c>
      <c r="M126" s="67">
        <v>41760</v>
      </c>
      <c r="N126" s="72"/>
      <c r="O126" s="72"/>
      <c r="P126" s="72"/>
      <c r="Q126" s="72"/>
    </row>
    <row r="127" spans="1:17" ht="12.75">
      <c r="A127" s="62">
        <f t="shared" si="6"/>
        <v>5</v>
      </c>
      <c r="B127" s="63">
        <f t="shared" si="7"/>
        <v>2014</v>
      </c>
      <c r="C127" s="52">
        <v>41760</v>
      </c>
      <c r="D127" s="250">
        <v>555.679</v>
      </c>
      <c r="E127" s="53">
        <f t="shared" si="8"/>
        <v>-0.001331727831494156</v>
      </c>
      <c r="F127" s="53">
        <f t="shared" si="9"/>
        <v>0.8578554783230858</v>
      </c>
      <c r="G127" s="70" t="str">
        <f t="shared" si="10"/>
        <v> </v>
      </c>
      <c r="H127" s="71"/>
      <c r="I127" s="73"/>
      <c r="K127" s="66">
        <v>0.0031</v>
      </c>
      <c r="L127" s="56">
        <f ca="1" t="shared" si="11"/>
        <v>0</v>
      </c>
      <c r="M127" s="67">
        <v>41791</v>
      </c>
      <c r="N127" s="72"/>
      <c r="O127" s="72"/>
      <c r="P127" s="72"/>
      <c r="Q127" s="72"/>
    </row>
    <row r="128" spans="1:17" ht="12.75">
      <c r="A128" s="68">
        <f t="shared" si="6"/>
        <v>6</v>
      </c>
      <c r="B128" s="69">
        <f t="shared" si="7"/>
        <v>2014</v>
      </c>
      <c r="C128" s="45">
        <v>41791</v>
      </c>
      <c r="D128" s="249">
        <v>551.554</v>
      </c>
      <c r="E128" s="46">
        <f t="shared" si="8"/>
        <v>-0.007423350531511885</v>
      </c>
      <c r="F128" s="46">
        <f t="shared" si="9"/>
        <v>0.844063965870604</v>
      </c>
      <c r="G128" s="70" t="str">
        <f t="shared" si="10"/>
        <v> </v>
      </c>
      <c r="H128" s="71"/>
      <c r="I128" s="73"/>
      <c r="K128" s="66">
        <v>0.003</v>
      </c>
      <c r="L128" s="56">
        <f ca="1" t="shared" si="11"/>
        <v>0</v>
      </c>
      <c r="M128" s="67">
        <v>41821</v>
      </c>
      <c r="N128" s="72"/>
      <c r="O128" s="72"/>
      <c r="P128" s="72"/>
      <c r="Q128" s="72"/>
    </row>
    <row r="129" spans="1:17" ht="12.75">
      <c r="A129" s="62">
        <f t="shared" si="6"/>
        <v>7</v>
      </c>
      <c r="B129" s="63">
        <f t="shared" si="7"/>
        <v>2014</v>
      </c>
      <c r="C129" s="52">
        <v>41821</v>
      </c>
      <c r="D129" s="250">
        <v>548.202</v>
      </c>
      <c r="E129" s="53">
        <f t="shared" si="8"/>
        <v>-0.006077374110241229</v>
      </c>
      <c r="F129" s="53">
        <f t="shared" si="9"/>
        <v>0.8328568992667931</v>
      </c>
      <c r="G129" s="70" t="str">
        <f t="shared" si="10"/>
        <v> </v>
      </c>
      <c r="H129" s="71"/>
      <c r="I129" s="73"/>
      <c r="K129" s="66">
        <v>0.0031</v>
      </c>
      <c r="L129" s="56">
        <f ca="1" t="shared" si="11"/>
        <v>0</v>
      </c>
      <c r="M129" s="67">
        <v>41852</v>
      </c>
      <c r="N129" s="72"/>
      <c r="O129" s="72"/>
      <c r="P129" s="72"/>
      <c r="Q129" s="72"/>
    </row>
    <row r="130" spans="1:17" ht="12.75">
      <c r="A130" s="68">
        <f t="shared" si="6"/>
        <v>8</v>
      </c>
      <c r="B130" s="69">
        <f t="shared" si="7"/>
        <v>2014</v>
      </c>
      <c r="C130" s="45">
        <v>41852</v>
      </c>
      <c r="D130" s="249">
        <v>546.745</v>
      </c>
      <c r="E130" s="46">
        <f t="shared" si="8"/>
        <v>-0.002657779431669338</v>
      </c>
      <c r="F130" s="46">
        <f t="shared" si="9"/>
        <v>0.8279855698987286</v>
      </c>
      <c r="G130" s="70" t="str">
        <f t="shared" si="10"/>
        <v> </v>
      </c>
      <c r="H130" s="71"/>
      <c r="I130" s="73"/>
      <c r="K130" s="66">
        <v>0.0032</v>
      </c>
      <c r="L130" s="56">
        <f ca="1" t="shared" si="11"/>
        <v>0</v>
      </c>
      <c r="M130" s="67">
        <v>41883</v>
      </c>
      <c r="N130" s="72"/>
      <c r="O130" s="72"/>
      <c r="P130" s="72"/>
      <c r="Q130" s="72"/>
    </row>
    <row r="131" spans="1:17" ht="12.75">
      <c r="A131" s="62">
        <f t="shared" si="6"/>
        <v>9</v>
      </c>
      <c r="B131" s="63">
        <f t="shared" si="7"/>
        <v>2014</v>
      </c>
      <c r="C131" s="52">
        <v>41883</v>
      </c>
      <c r="D131" s="250">
        <v>547.839</v>
      </c>
      <c r="E131" s="53">
        <f t="shared" si="8"/>
        <v>0.002000932793166932</v>
      </c>
      <c r="F131" s="53">
        <f t="shared" si="9"/>
        <v>0.8316432461709748</v>
      </c>
      <c r="G131" s="70" t="str">
        <f t="shared" si="10"/>
        <v> </v>
      </c>
      <c r="H131" s="71"/>
      <c r="I131" s="73"/>
      <c r="K131" s="66">
        <v>0.0036</v>
      </c>
      <c r="L131" s="56">
        <f ca="1" t="shared" si="11"/>
        <v>0</v>
      </c>
      <c r="M131" s="67">
        <v>41913</v>
      </c>
      <c r="N131" s="72"/>
      <c r="O131" s="72"/>
      <c r="P131" s="72"/>
      <c r="Q131" s="72"/>
    </row>
    <row r="132" spans="1:17" ht="12.75">
      <c r="A132" s="68">
        <f aca="true" t="shared" si="12" ref="A132:A195">MONTH(C132)</f>
        <v>10</v>
      </c>
      <c r="B132" s="69">
        <f aca="true" t="shared" si="13" ref="B132:B195">YEAR(C132)</f>
        <v>2014</v>
      </c>
      <c r="C132" s="45">
        <v>41913</v>
      </c>
      <c r="D132" s="249">
        <v>549.396</v>
      </c>
      <c r="E132" s="46">
        <f t="shared" si="8"/>
        <v>0.0028420758653544542</v>
      </c>
      <c r="F132" s="46">
        <f t="shared" si="9"/>
        <v>0.8368489152348568</v>
      </c>
      <c r="G132" s="70" t="str">
        <f t="shared" si="10"/>
        <v> </v>
      </c>
      <c r="H132" s="71"/>
      <c r="I132" s="73"/>
      <c r="K132" s="66">
        <v>0.004</v>
      </c>
      <c r="L132" s="56">
        <f ca="1" t="shared" si="11"/>
        <v>0</v>
      </c>
      <c r="M132" s="67">
        <v>41944</v>
      </c>
      <c r="N132" s="72"/>
      <c r="O132" s="72"/>
      <c r="P132" s="72"/>
      <c r="Q132" s="72"/>
    </row>
    <row r="133" spans="1:17" ht="12.75">
      <c r="A133" s="62">
        <f t="shared" si="12"/>
        <v>11</v>
      </c>
      <c r="B133" s="63">
        <f t="shared" si="13"/>
        <v>2014</v>
      </c>
      <c r="C133" s="52">
        <v>41944</v>
      </c>
      <c r="D133" s="250">
        <v>554.769</v>
      </c>
      <c r="E133" s="53">
        <f aca="true" t="shared" si="14" ref="E133:E196">(D133/D132)-1</f>
        <v>0.009779830941615941</v>
      </c>
      <c r="F133" s="53">
        <f aca="true" t="shared" si="15" ref="F133:F196">(D133/$D$4)-1</f>
        <v>0.8548129870911445</v>
      </c>
      <c r="G133" s="70" t="str">
        <f t="shared" si="10"/>
        <v> </v>
      </c>
      <c r="H133" s="71"/>
      <c r="I133" s="73"/>
      <c r="K133" s="66">
        <v>0.0043</v>
      </c>
      <c r="L133" s="56">
        <f ca="1" t="shared" si="11"/>
        <v>0</v>
      </c>
      <c r="M133" s="67">
        <v>41974</v>
      </c>
      <c r="N133" s="72"/>
      <c r="O133" s="72"/>
      <c r="P133" s="72"/>
      <c r="Q133" s="72"/>
    </row>
    <row r="134" spans="1:17" ht="12.75">
      <c r="A134" s="68">
        <f t="shared" si="12"/>
        <v>12</v>
      </c>
      <c r="B134" s="69">
        <f t="shared" si="13"/>
        <v>2014</v>
      </c>
      <c r="C134" s="45">
        <v>41974</v>
      </c>
      <c r="D134" s="249">
        <v>558.213</v>
      </c>
      <c r="E134" s="46">
        <f t="shared" si="14"/>
        <v>0.006207989271210135</v>
      </c>
      <c r="F134" s="46">
        <f t="shared" si="15"/>
        <v>0.8663276462151075</v>
      </c>
      <c r="G134" s="70" t="str">
        <f t="shared" si="10"/>
        <v> </v>
      </c>
      <c r="H134" s="71"/>
      <c r="I134" s="73"/>
      <c r="K134" s="66">
        <v>0.0047</v>
      </c>
      <c r="L134" s="56">
        <f ca="1" t="shared" si="11"/>
        <v>0</v>
      </c>
      <c r="M134" s="67">
        <v>42005</v>
      </c>
      <c r="N134" s="72"/>
      <c r="O134" s="72"/>
      <c r="P134" s="72"/>
      <c r="Q134" s="72"/>
    </row>
    <row r="135" spans="1:17" ht="12.75">
      <c r="A135" s="62">
        <f t="shared" si="12"/>
        <v>1</v>
      </c>
      <c r="B135" s="63">
        <f t="shared" si="13"/>
        <v>2015</v>
      </c>
      <c r="C135" s="52">
        <v>42005</v>
      </c>
      <c r="D135" s="250">
        <v>562.482</v>
      </c>
      <c r="E135" s="53">
        <f t="shared" si="14"/>
        <v>0.007647618382230492</v>
      </c>
      <c r="F135" s="53">
        <f t="shared" si="15"/>
        <v>0.880600607829567</v>
      </c>
      <c r="G135" s="70" t="str">
        <f t="shared" si="10"/>
        <v> </v>
      </c>
      <c r="H135" s="71"/>
      <c r="I135" s="73"/>
      <c r="K135" s="66">
        <v>0.005</v>
      </c>
      <c r="L135" s="56">
        <f ca="1" t="shared" si="11"/>
        <v>0</v>
      </c>
      <c r="M135" s="67">
        <v>42036</v>
      </c>
      <c r="N135" s="72"/>
      <c r="O135" s="72"/>
      <c r="P135" s="72"/>
      <c r="Q135" s="72"/>
    </row>
    <row r="136" spans="1:17" ht="12.75">
      <c r="A136" s="68">
        <f t="shared" si="12"/>
        <v>2</v>
      </c>
      <c r="B136" s="69">
        <f t="shared" si="13"/>
        <v>2015</v>
      </c>
      <c r="C136" s="45">
        <v>42036</v>
      </c>
      <c r="D136" s="249">
        <v>564.004</v>
      </c>
      <c r="E136" s="46">
        <f t="shared" si="14"/>
        <v>0.002705864365437627</v>
      </c>
      <c r="F136" s="46">
        <f t="shared" si="15"/>
        <v>0.8856892579999132</v>
      </c>
      <c r="G136" s="70" t="str">
        <f t="shared" si="10"/>
        <v> </v>
      </c>
      <c r="H136" s="71"/>
      <c r="I136" s="73"/>
      <c r="K136" s="66">
        <v>0.004</v>
      </c>
      <c r="L136" s="56">
        <f ca="1" t="shared" si="11"/>
        <v>0</v>
      </c>
      <c r="M136" s="67">
        <v>42064</v>
      </c>
      <c r="N136" s="72"/>
      <c r="O136" s="72"/>
      <c r="P136" s="72"/>
      <c r="Q136" s="72"/>
    </row>
    <row r="137" spans="1:17" ht="12.75">
      <c r="A137" s="62">
        <f t="shared" si="12"/>
        <v>3</v>
      </c>
      <c r="B137" s="63">
        <f t="shared" si="13"/>
        <v>2015</v>
      </c>
      <c r="C137" s="52">
        <v>42064</v>
      </c>
      <c r="D137" s="250">
        <v>569.536</v>
      </c>
      <c r="E137" s="53">
        <f t="shared" si="14"/>
        <v>0.009808441074885765</v>
      </c>
      <c r="F137" s="53">
        <f t="shared" si="15"/>
        <v>0.9041849299725506</v>
      </c>
      <c r="G137" s="70" t="str">
        <f t="shared" si="10"/>
        <v> </v>
      </c>
      <c r="H137" s="71"/>
      <c r="I137" s="73"/>
      <c r="K137" s="66">
        <v>0.0036</v>
      </c>
      <c r="L137" s="56">
        <f ca="1" t="shared" si="11"/>
        <v>0</v>
      </c>
      <c r="M137" s="67">
        <v>42095</v>
      </c>
      <c r="N137" s="72"/>
      <c r="O137" s="72"/>
      <c r="P137" s="72"/>
      <c r="Q137" s="72"/>
    </row>
    <row r="138" spans="1:17" ht="12.75">
      <c r="A138" s="68">
        <f t="shared" si="12"/>
        <v>4</v>
      </c>
      <c r="B138" s="69">
        <f t="shared" si="13"/>
        <v>2015</v>
      </c>
      <c r="C138" s="45">
        <v>42095</v>
      </c>
      <c r="D138" s="249">
        <v>576.175</v>
      </c>
      <c r="E138" s="46">
        <f t="shared" si="14"/>
        <v>0.011656857512080121</v>
      </c>
      <c r="F138" s="46">
        <f t="shared" si="15"/>
        <v>0.9263817423778908</v>
      </c>
      <c r="G138" s="70" t="str">
        <f t="shared" si="10"/>
        <v> </v>
      </c>
      <c r="H138" s="71"/>
      <c r="I138" s="73"/>
      <c r="K138" s="66">
        <v>0.0032</v>
      </c>
      <c r="L138" s="56">
        <f ca="1" t="shared" si="11"/>
        <v>0</v>
      </c>
      <c r="M138" s="67">
        <v>42125</v>
      </c>
      <c r="N138" s="72"/>
      <c r="O138" s="72"/>
      <c r="P138" s="72"/>
      <c r="Q138" s="72"/>
    </row>
    <row r="139" spans="1:17" ht="12.75">
      <c r="A139" s="62">
        <f t="shared" si="12"/>
        <v>5</v>
      </c>
      <c r="B139" s="63">
        <f t="shared" si="13"/>
        <v>2015</v>
      </c>
      <c r="C139" s="52">
        <v>42125</v>
      </c>
      <c r="D139" s="250">
        <v>578.516</v>
      </c>
      <c r="E139" s="53">
        <f t="shared" si="14"/>
        <v>0.004063001692194312</v>
      </c>
      <c r="F139" s="53">
        <f t="shared" si="15"/>
        <v>0.9342086346569842</v>
      </c>
      <c r="G139" s="70" t="str">
        <f t="shared" si="10"/>
        <v> </v>
      </c>
      <c r="H139" s="71"/>
      <c r="I139" s="73"/>
      <c r="K139" s="66">
        <v>0.0031</v>
      </c>
      <c r="L139" s="56">
        <f ca="1" t="shared" si="11"/>
        <v>0</v>
      </c>
      <c r="M139" s="67">
        <v>42156</v>
      </c>
      <c r="N139" s="72"/>
      <c r="O139" s="72"/>
      <c r="P139" s="72"/>
      <c r="Q139" s="72"/>
    </row>
    <row r="140" spans="1:17" ht="12.75">
      <c r="A140" s="68">
        <f t="shared" si="12"/>
        <v>6</v>
      </c>
      <c r="B140" s="69">
        <f t="shared" si="13"/>
        <v>2015</v>
      </c>
      <c r="C140" s="45">
        <v>42156</v>
      </c>
      <c r="D140" s="249">
        <v>582.401</v>
      </c>
      <c r="E140" s="46">
        <f t="shared" si="14"/>
        <v>0.006715458172289024</v>
      </c>
      <c r="F140" s="46">
        <f t="shared" si="15"/>
        <v>0.9471977318395035</v>
      </c>
      <c r="G140" s="70" t="str">
        <f t="shared" si="10"/>
        <v> </v>
      </c>
      <c r="H140" s="71"/>
      <c r="I140" s="73"/>
      <c r="K140" s="66">
        <v>0.003</v>
      </c>
      <c r="L140" s="56">
        <f ca="1" t="shared" si="11"/>
        <v>0</v>
      </c>
      <c r="M140" s="67">
        <v>42186</v>
      </c>
      <c r="N140" s="72"/>
      <c r="O140" s="72"/>
      <c r="P140" s="72"/>
      <c r="Q140" s="72"/>
    </row>
    <row r="141" spans="1:17" ht="12.75">
      <c r="A141" s="62">
        <f t="shared" si="12"/>
        <v>7</v>
      </c>
      <c r="B141" s="63">
        <f t="shared" si="13"/>
        <v>2015</v>
      </c>
      <c r="C141" s="52">
        <v>42186</v>
      </c>
      <c r="D141" s="250">
        <v>586.426</v>
      </c>
      <c r="E141" s="53">
        <f t="shared" si="14"/>
        <v>0.006911045825814366</v>
      </c>
      <c r="F141" s="53">
        <f t="shared" si="15"/>
        <v>0.9606549045961681</v>
      </c>
      <c r="G141" s="70" t="str">
        <f t="shared" si="10"/>
        <v> </v>
      </c>
      <c r="H141" s="71"/>
      <c r="I141" s="73"/>
      <c r="K141" s="66">
        <v>0.0031</v>
      </c>
      <c r="L141" s="56">
        <f ca="1" t="shared" si="11"/>
        <v>0</v>
      </c>
      <c r="M141" s="67">
        <v>42217</v>
      </c>
      <c r="N141" s="72"/>
      <c r="O141" s="72"/>
      <c r="P141" s="72"/>
      <c r="Q141" s="72"/>
    </row>
    <row r="142" spans="1:17" ht="12.75">
      <c r="A142" s="68">
        <f t="shared" si="12"/>
        <v>8</v>
      </c>
      <c r="B142" s="69">
        <f t="shared" si="13"/>
        <v>2015</v>
      </c>
      <c r="C142" s="45">
        <v>42217</v>
      </c>
      <c r="D142" s="249">
        <v>588.042</v>
      </c>
      <c r="E142" s="46">
        <f t="shared" si="14"/>
        <v>0.0027556759079576665</v>
      </c>
      <c r="F142" s="46">
        <f t="shared" si="15"/>
        <v>0.9660578340805828</v>
      </c>
      <c r="G142" s="70" t="str">
        <f t="shared" si="10"/>
        <v> </v>
      </c>
      <c r="H142" s="71"/>
      <c r="I142" s="73"/>
      <c r="K142" s="66">
        <v>0.0032</v>
      </c>
      <c r="L142" s="56">
        <f ca="1" t="shared" si="11"/>
        <v>0</v>
      </c>
      <c r="M142" s="67">
        <v>42248</v>
      </c>
      <c r="N142" s="72"/>
      <c r="O142" s="72"/>
      <c r="P142" s="72"/>
      <c r="Q142" s="72"/>
    </row>
    <row r="143" spans="1:17" ht="12.75">
      <c r="A143" s="62">
        <f t="shared" si="12"/>
        <v>9</v>
      </c>
      <c r="B143" s="63">
        <f t="shared" si="13"/>
        <v>2015</v>
      </c>
      <c r="C143" s="52">
        <v>42248</v>
      </c>
      <c r="D143" s="250">
        <v>593.606</v>
      </c>
      <c r="E143" s="53">
        <f t="shared" si="14"/>
        <v>0.009461909183357653</v>
      </c>
      <c r="F143" s="53">
        <f t="shared" si="15"/>
        <v>0.9846604947558819</v>
      </c>
      <c r="G143" s="70" t="str">
        <f t="shared" si="10"/>
        <v> </v>
      </c>
      <c r="H143" s="71"/>
      <c r="I143" s="73"/>
      <c r="K143" s="66">
        <v>0.0036</v>
      </c>
      <c r="L143" s="56">
        <f ca="1" t="shared" si="11"/>
        <v>0</v>
      </c>
      <c r="M143" s="67">
        <v>42278</v>
      </c>
      <c r="N143" s="72"/>
      <c r="O143" s="72"/>
      <c r="P143" s="72"/>
      <c r="Q143" s="72"/>
    </row>
    <row r="144" spans="1:17" ht="12.75">
      <c r="A144" s="68">
        <f t="shared" si="12"/>
        <v>10</v>
      </c>
      <c r="B144" s="69">
        <f t="shared" si="13"/>
        <v>2015</v>
      </c>
      <c r="C144" s="45">
        <v>42278</v>
      </c>
      <c r="D144" s="249">
        <v>604.832</v>
      </c>
      <c r="E144" s="46">
        <f t="shared" si="14"/>
        <v>0.01891153391306699</v>
      </c>
      <c r="F144" s="46">
        <f t="shared" si="15"/>
        <v>1.022193469008382</v>
      </c>
      <c r="G144" s="70" t="str">
        <f t="shared" si="10"/>
        <v> </v>
      </c>
      <c r="H144" s="71"/>
      <c r="I144" s="73"/>
      <c r="K144" s="66">
        <v>0.004</v>
      </c>
      <c r="L144" s="56">
        <f ca="1" t="shared" si="11"/>
        <v>0</v>
      </c>
      <c r="M144" s="67">
        <v>42309</v>
      </c>
      <c r="N144" s="72"/>
      <c r="O144" s="72"/>
      <c r="P144" s="72"/>
      <c r="Q144" s="72"/>
    </row>
    <row r="145" spans="1:17" ht="12.75">
      <c r="A145" s="62">
        <f t="shared" si="12"/>
        <v>11</v>
      </c>
      <c r="B145" s="63">
        <f t="shared" si="13"/>
        <v>2015</v>
      </c>
      <c r="C145" s="52">
        <v>42309</v>
      </c>
      <c r="D145" s="250">
        <v>614.051</v>
      </c>
      <c r="E145" s="53">
        <f t="shared" si="14"/>
        <v>0.015242249087350057</v>
      </c>
      <c r="F145" s="53">
        <f t="shared" si="15"/>
        <v>1.05301624556582</v>
      </c>
      <c r="G145" s="70" t="str">
        <f t="shared" si="10"/>
        <v> </v>
      </c>
      <c r="H145" s="71"/>
      <c r="I145" s="73"/>
      <c r="K145" s="66">
        <v>0.0043</v>
      </c>
      <c r="L145" s="56">
        <f ca="1" t="shared" si="11"/>
        <v>0</v>
      </c>
      <c r="M145" s="67">
        <v>42339</v>
      </c>
      <c r="N145" s="72"/>
      <c r="O145" s="72"/>
      <c r="P145" s="72"/>
      <c r="Q145" s="72"/>
    </row>
    <row r="146" spans="1:17" ht="12.75">
      <c r="A146" s="68">
        <f t="shared" si="12"/>
        <v>12</v>
      </c>
      <c r="B146" s="69">
        <f t="shared" si="13"/>
        <v>2015</v>
      </c>
      <c r="C146" s="45">
        <v>42339</v>
      </c>
      <c r="D146" s="249">
        <v>617.044</v>
      </c>
      <c r="E146" s="46">
        <f t="shared" si="14"/>
        <v>0.0048741879746143635</v>
      </c>
      <c r="F146" s="46">
        <f t="shared" si="15"/>
        <v>1.0630230326616448</v>
      </c>
      <c r="G146" s="70" t="str">
        <f t="shared" si="10"/>
        <v> </v>
      </c>
      <c r="H146" s="71"/>
      <c r="I146" s="73"/>
      <c r="K146" s="66">
        <v>0.0047</v>
      </c>
      <c r="L146" s="56">
        <f ca="1" t="shared" si="11"/>
        <v>0</v>
      </c>
      <c r="M146" s="67">
        <v>42370</v>
      </c>
      <c r="N146" s="72"/>
      <c r="O146" s="72"/>
      <c r="P146" s="72"/>
      <c r="Q146" s="72"/>
    </row>
    <row r="147" spans="1:17" ht="12.75">
      <c r="A147" s="62">
        <f t="shared" si="12"/>
        <v>1</v>
      </c>
      <c r="B147" s="63">
        <f t="shared" si="13"/>
        <v>2016</v>
      </c>
      <c r="C147" s="52">
        <v>42370</v>
      </c>
      <c r="D147" s="250">
        <v>624.06</v>
      </c>
      <c r="E147" s="53">
        <f t="shared" si="14"/>
        <v>0.011370339878517433</v>
      </c>
      <c r="F147" s="53">
        <f t="shared" si="15"/>
        <v>1.086480305720218</v>
      </c>
      <c r="G147" s="70" t="str">
        <f t="shared" si="10"/>
        <v> </v>
      </c>
      <c r="H147" s="71"/>
      <c r="I147" s="73"/>
      <c r="K147" s="66">
        <v>0.005</v>
      </c>
      <c r="L147" s="56">
        <f ca="1" t="shared" si="11"/>
        <v>0</v>
      </c>
      <c r="M147" s="67">
        <v>42401</v>
      </c>
      <c r="N147" s="72"/>
      <c r="O147" s="72"/>
      <c r="P147" s="72"/>
      <c r="Q147" s="72"/>
    </row>
    <row r="148" spans="1:17" ht="12.75">
      <c r="A148" s="68">
        <f t="shared" si="12"/>
        <v>2</v>
      </c>
      <c r="B148" s="69">
        <f t="shared" si="13"/>
        <v>2016</v>
      </c>
      <c r="C148" s="45">
        <v>42401</v>
      </c>
      <c r="D148" s="249">
        <v>632.114</v>
      </c>
      <c r="E148" s="46">
        <f t="shared" si="14"/>
        <v>0.012905810338749601</v>
      </c>
      <c r="F148" s="46">
        <f t="shared" si="15"/>
        <v>1.1134080248213793</v>
      </c>
      <c r="G148" s="70" t="str">
        <f t="shared" si="10"/>
        <v> </v>
      </c>
      <c r="H148" s="71"/>
      <c r="I148" s="73"/>
      <c r="K148" s="66">
        <v>0.004</v>
      </c>
      <c r="L148" s="56">
        <f ca="1" t="shared" si="11"/>
        <v>0</v>
      </c>
      <c r="M148" s="67">
        <v>42430</v>
      </c>
      <c r="N148" s="72"/>
      <c r="O148" s="72"/>
      <c r="P148" s="72"/>
      <c r="Q148" s="72"/>
    </row>
    <row r="149" spans="1:17" ht="12.75">
      <c r="A149" s="62">
        <f t="shared" si="12"/>
        <v>3</v>
      </c>
      <c r="B149" s="63">
        <f t="shared" si="13"/>
        <v>2016</v>
      </c>
      <c r="C149" s="52">
        <v>42430</v>
      </c>
      <c r="D149" s="250">
        <v>635.349</v>
      </c>
      <c r="E149" s="53">
        <f t="shared" si="14"/>
        <v>0.005117747748032864</v>
      </c>
      <c r="F149" s="53">
        <f t="shared" si="15"/>
        <v>1.1242239139810835</v>
      </c>
      <c r="G149" s="70" t="str">
        <f t="shared" si="10"/>
        <v> </v>
      </c>
      <c r="H149" s="71"/>
      <c r="I149" s="73"/>
      <c r="K149" s="66">
        <v>0.0036</v>
      </c>
      <c r="L149" s="56">
        <f ca="1" t="shared" si="11"/>
        <v>0</v>
      </c>
      <c r="M149" s="67">
        <v>42461</v>
      </c>
      <c r="N149" s="72"/>
      <c r="O149" s="72"/>
      <c r="P149" s="72"/>
      <c r="Q149" s="72"/>
    </row>
    <row r="150" spans="1:17" ht="12.75">
      <c r="A150" s="68">
        <f t="shared" si="12"/>
        <v>4</v>
      </c>
      <c r="B150" s="69">
        <f t="shared" si="13"/>
        <v>2016</v>
      </c>
      <c r="C150" s="45">
        <v>42461</v>
      </c>
      <c r="D150" s="331">
        <v>637.434</v>
      </c>
      <c r="E150" s="46">
        <f t="shared" si="14"/>
        <v>0.00328166094540161</v>
      </c>
      <c r="F150" s="46">
        <f t="shared" si="15"/>
        <v>1.131194896638883</v>
      </c>
      <c r="G150" s="70" t="str">
        <f t="shared" si="10"/>
        <v> </v>
      </c>
      <c r="H150" s="71"/>
      <c r="I150" s="73"/>
      <c r="K150" s="66">
        <v>0.0032</v>
      </c>
      <c r="L150" s="56">
        <f ca="1" t="shared" si="11"/>
        <v>0</v>
      </c>
      <c r="M150" s="67">
        <v>42491</v>
      </c>
      <c r="N150" s="72"/>
      <c r="O150" s="72"/>
      <c r="P150" s="72"/>
      <c r="Q150" s="72"/>
    </row>
    <row r="151" spans="1:17" ht="12.75">
      <c r="A151" s="62">
        <f t="shared" si="12"/>
        <v>5</v>
      </c>
      <c r="B151" s="63">
        <f t="shared" si="13"/>
        <v>2016</v>
      </c>
      <c r="C151" s="52">
        <v>42491</v>
      </c>
      <c r="D151" s="330">
        <v>642.651</v>
      </c>
      <c r="E151" s="53">
        <f t="shared" si="14"/>
        <v>0.008184376735473675</v>
      </c>
      <c r="F151" s="53">
        <f t="shared" si="15"/>
        <v>1.148637398569695</v>
      </c>
      <c r="G151" s="70" t="str">
        <f t="shared" si="10"/>
        <v> </v>
      </c>
      <c r="H151" s="71"/>
      <c r="I151" s="73"/>
      <c r="K151" s="66">
        <v>0.0031</v>
      </c>
      <c r="L151" s="56">
        <f ca="1" t="shared" si="11"/>
        <v>0</v>
      </c>
      <c r="M151" s="67">
        <v>42522</v>
      </c>
      <c r="N151" s="72"/>
      <c r="O151" s="72"/>
      <c r="P151" s="72"/>
      <c r="Q151" s="72"/>
    </row>
    <row r="152" spans="1:17" ht="12.75">
      <c r="A152" s="68">
        <f t="shared" si="12"/>
        <v>6</v>
      </c>
      <c r="B152" s="69">
        <f t="shared" si="13"/>
        <v>2016</v>
      </c>
      <c r="C152" s="45">
        <v>42522</v>
      </c>
      <c r="D152" s="331">
        <v>653.496</v>
      </c>
      <c r="E152" s="46">
        <f t="shared" si="14"/>
        <v>0.016875411381916505</v>
      </c>
      <c r="F152" s="46">
        <f t="shared" si="15"/>
        <v>1.1848965385811292</v>
      </c>
      <c r="G152" s="70" t="str">
        <f t="shared" si="10"/>
        <v> </v>
      </c>
      <c r="H152" s="71"/>
      <c r="I152" s="73"/>
      <c r="K152" s="66">
        <v>0.003</v>
      </c>
      <c r="L152" s="56">
        <f ca="1" t="shared" si="11"/>
        <v>0</v>
      </c>
      <c r="M152" s="67">
        <v>42552</v>
      </c>
      <c r="N152" s="72"/>
      <c r="O152" s="72"/>
      <c r="P152" s="72"/>
      <c r="Q152" s="72"/>
    </row>
    <row r="153" spans="1:17" ht="12.75">
      <c r="A153" s="62">
        <f t="shared" si="12"/>
        <v>7</v>
      </c>
      <c r="B153" s="63">
        <f t="shared" si="13"/>
        <v>2016</v>
      </c>
      <c r="C153" s="52">
        <v>42552</v>
      </c>
      <c r="D153" s="330">
        <v>654.641</v>
      </c>
      <c r="E153" s="53">
        <f t="shared" si="14"/>
        <v>0.0017521147795853675</v>
      </c>
      <c r="F153" s="53">
        <f t="shared" si="15"/>
        <v>1.1887247280982423</v>
      </c>
      <c r="G153" s="70" t="str">
        <f t="shared" si="10"/>
        <v> </v>
      </c>
      <c r="H153" s="71"/>
      <c r="I153" s="73"/>
      <c r="K153" s="66">
        <v>0.0031</v>
      </c>
      <c r="L153" s="56">
        <f ca="1" t="shared" si="11"/>
        <v>0</v>
      </c>
      <c r="M153" s="67">
        <v>42583</v>
      </c>
      <c r="N153" s="72"/>
      <c r="O153" s="72"/>
      <c r="P153" s="72"/>
      <c r="Q153" s="72"/>
    </row>
    <row r="154" spans="1:17" ht="12.75">
      <c r="A154" s="68">
        <f t="shared" si="12"/>
        <v>8</v>
      </c>
      <c r="B154" s="69">
        <f t="shared" si="13"/>
        <v>2016</v>
      </c>
      <c r="C154" s="45">
        <v>42583</v>
      </c>
      <c r="D154" s="331">
        <v>655.602</v>
      </c>
      <c r="E154" s="46">
        <f t="shared" si="14"/>
        <v>0.0014679801601182874</v>
      </c>
      <c r="F154" s="46">
        <f t="shared" si="15"/>
        <v>1.191937732575051</v>
      </c>
      <c r="G154" s="70" t="str">
        <f t="shared" si="10"/>
        <v> </v>
      </c>
      <c r="H154" s="71"/>
      <c r="I154" s="73"/>
      <c r="K154" s="66">
        <v>0.0032</v>
      </c>
      <c r="L154" s="56">
        <f ca="1" t="shared" si="11"/>
        <v>0</v>
      </c>
      <c r="M154" s="67">
        <v>42614</v>
      </c>
      <c r="N154" s="72"/>
      <c r="O154" s="72"/>
      <c r="P154" s="72"/>
      <c r="Q154" s="72"/>
    </row>
    <row r="155" spans="1:17" ht="12.75">
      <c r="A155" s="62">
        <f t="shared" si="12"/>
        <v>9</v>
      </c>
      <c r="B155" s="63">
        <f t="shared" si="13"/>
        <v>2016</v>
      </c>
      <c r="C155" s="52">
        <v>42614</v>
      </c>
      <c r="D155" s="330">
        <v>656.894</v>
      </c>
      <c r="E155" s="53">
        <f t="shared" si="14"/>
        <v>0.00197070783798714</v>
      </c>
      <c r="F155" s="53">
        <f t="shared" si="15"/>
        <v>1.1962574014450165</v>
      </c>
      <c r="G155" s="70" t="str">
        <f t="shared" si="10"/>
        <v> </v>
      </c>
      <c r="H155" s="71"/>
      <c r="I155" s="73"/>
      <c r="K155" s="66">
        <v>0.0036</v>
      </c>
      <c r="L155" s="56">
        <f ca="1" t="shared" si="11"/>
        <v>0</v>
      </c>
      <c r="M155" s="67">
        <v>42644</v>
      </c>
      <c r="N155" s="72"/>
      <c r="O155" s="72"/>
      <c r="P155" s="72"/>
      <c r="Q155" s="72"/>
    </row>
    <row r="156" spans="1:17" ht="12.75">
      <c r="A156" s="68">
        <f t="shared" si="12"/>
        <v>10</v>
      </c>
      <c r="B156" s="69">
        <f t="shared" si="13"/>
        <v>2016</v>
      </c>
      <c r="C156" s="45">
        <v>42644</v>
      </c>
      <c r="D156" s="331">
        <v>657.927</v>
      </c>
      <c r="E156" s="46">
        <f t="shared" si="14"/>
        <v>0.0015725520403595539</v>
      </c>
      <c r="F156" s="46">
        <f t="shared" si="15"/>
        <v>1.1997111305028136</v>
      </c>
      <c r="G156" s="70" t="str">
        <f t="shared" si="10"/>
        <v> </v>
      </c>
      <c r="H156" s="71"/>
      <c r="I156" s="73"/>
      <c r="K156" s="66">
        <v>0.004</v>
      </c>
      <c r="L156" s="56">
        <f ca="1" t="shared" si="11"/>
        <v>0</v>
      </c>
      <c r="M156" s="67">
        <v>42675</v>
      </c>
      <c r="N156" s="72"/>
      <c r="O156" s="72"/>
      <c r="P156" s="72"/>
      <c r="Q156" s="72"/>
    </row>
    <row r="157" spans="1:17" ht="12.75">
      <c r="A157" s="62">
        <f t="shared" si="12"/>
        <v>11</v>
      </c>
      <c r="B157" s="63">
        <f t="shared" si="13"/>
        <v>2016</v>
      </c>
      <c r="C157" s="52">
        <v>42675</v>
      </c>
      <c r="D157" s="330">
        <v>657.752</v>
      </c>
      <c r="E157" s="53">
        <f t="shared" si="14"/>
        <v>-0.0002659869559997752</v>
      </c>
      <c r="F157" s="53">
        <f t="shared" si="15"/>
        <v>1.1991260360351323</v>
      </c>
      <c r="G157" s="70" t="str">
        <f t="shared" si="10"/>
        <v> </v>
      </c>
      <c r="H157" s="71"/>
      <c r="I157" s="73"/>
      <c r="K157" s="66">
        <v>0.0043</v>
      </c>
      <c r="L157" s="56">
        <f ca="1" t="shared" si="11"/>
        <v>0</v>
      </c>
      <c r="M157" s="67">
        <v>42705</v>
      </c>
      <c r="N157" s="72"/>
      <c r="O157" s="72"/>
      <c r="P157" s="72"/>
      <c r="Q157" s="72"/>
    </row>
    <row r="158" spans="1:17" ht="12.75">
      <c r="A158" s="68">
        <f t="shared" si="12"/>
        <v>12</v>
      </c>
      <c r="B158" s="69">
        <f t="shared" si="13"/>
        <v>2016</v>
      </c>
      <c r="C158" s="45">
        <v>42705</v>
      </c>
      <c r="D158" s="331"/>
      <c r="E158" s="46">
        <f t="shared" si="14"/>
        <v>-1</v>
      </c>
      <c r="F158" s="46">
        <f t="shared" si="15"/>
        <v>-1</v>
      </c>
      <c r="G158" s="70" t="str">
        <f t="shared" si="10"/>
        <v> </v>
      </c>
      <c r="H158" s="71"/>
      <c r="I158" s="73"/>
      <c r="K158" s="66">
        <v>0.0047</v>
      </c>
      <c r="L158" s="56">
        <f ca="1" t="shared" si="11"/>
        <v>1</v>
      </c>
      <c r="M158" s="67">
        <v>42736</v>
      </c>
      <c r="N158" s="72"/>
      <c r="O158" s="72"/>
      <c r="P158" s="72"/>
      <c r="Q158" s="72"/>
    </row>
    <row r="159" spans="1:17" ht="12.75">
      <c r="A159" s="62">
        <f t="shared" si="12"/>
        <v>1</v>
      </c>
      <c r="B159" s="63">
        <f t="shared" si="13"/>
        <v>2017</v>
      </c>
      <c r="C159" s="52">
        <v>42736</v>
      </c>
      <c r="D159" s="330"/>
      <c r="E159" s="53" t="e">
        <f t="shared" si="14"/>
        <v>#DIV/0!</v>
      </c>
      <c r="F159" s="53">
        <f t="shared" si="15"/>
        <v>-1</v>
      </c>
      <c r="G159" s="70" t="str">
        <f t="shared" si="10"/>
        <v> </v>
      </c>
      <c r="H159" s="71"/>
      <c r="I159" s="73"/>
      <c r="K159" s="66">
        <v>0.005</v>
      </c>
      <c r="L159" s="56">
        <f ca="1" t="shared" si="11"/>
        <v>1</v>
      </c>
      <c r="M159" s="67">
        <v>42767</v>
      </c>
      <c r="N159" s="72"/>
      <c r="O159" s="72"/>
      <c r="P159" s="72"/>
      <c r="Q159" s="72"/>
    </row>
    <row r="160" spans="1:17" ht="12.75">
      <c r="A160" s="68">
        <f t="shared" si="12"/>
        <v>2</v>
      </c>
      <c r="B160" s="69">
        <f t="shared" si="13"/>
        <v>2017</v>
      </c>
      <c r="C160" s="45">
        <v>42767</v>
      </c>
      <c r="D160" s="331"/>
      <c r="E160" s="46" t="e">
        <f t="shared" si="14"/>
        <v>#DIV/0!</v>
      </c>
      <c r="F160" s="46">
        <f t="shared" si="15"/>
        <v>-1</v>
      </c>
      <c r="G160" s="70" t="str">
        <f t="shared" si="10"/>
        <v> </v>
      </c>
      <c r="H160" s="71"/>
      <c r="I160" s="73"/>
      <c r="K160" s="66">
        <v>0.004</v>
      </c>
      <c r="L160" s="56">
        <f ca="1" t="shared" si="11"/>
        <v>1</v>
      </c>
      <c r="M160" s="67">
        <v>42795</v>
      </c>
      <c r="N160" s="72"/>
      <c r="O160" s="72"/>
      <c r="P160" s="72"/>
      <c r="Q160" s="72"/>
    </row>
    <row r="161" spans="1:17" ht="12.75">
      <c r="A161" s="62">
        <f t="shared" si="12"/>
        <v>3</v>
      </c>
      <c r="B161" s="63">
        <f t="shared" si="13"/>
        <v>2017</v>
      </c>
      <c r="C161" s="52">
        <v>42795</v>
      </c>
      <c r="D161" s="330"/>
      <c r="E161" s="53" t="e">
        <f t="shared" si="14"/>
        <v>#DIV/0!</v>
      </c>
      <c r="F161" s="53">
        <f t="shared" si="15"/>
        <v>-1</v>
      </c>
      <c r="G161" s="70" t="str">
        <f t="shared" si="10"/>
        <v> </v>
      </c>
      <c r="H161" s="71"/>
      <c r="I161" s="73"/>
      <c r="K161" s="66">
        <v>0.0036</v>
      </c>
      <c r="L161" s="56">
        <f ca="1" t="shared" si="11"/>
        <v>1</v>
      </c>
      <c r="M161" s="67">
        <v>42826</v>
      </c>
      <c r="N161" s="72"/>
      <c r="O161" s="72"/>
      <c r="P161" s="72"/>
      <c r="Q161" s="72"/>
    </row>
    <row r="162" spans="1:17" ht="12.75">
      <c r="A162" s="68">
        <f t="shared" si="12"/>
        <v>4</v>
      </c>
      <c r="B162" s="69">
        <f t="shared" si="13"/>
        <v>2017</v>
      </c>
      <c r="C162" s="45">
        <v>42826</v>
      </c>
      <c r="D162" s="331"/>
      <c r="E162" s="46" t="e">
        <f t="shared" si="14"/>
        <v>#DIV/0!</v>
      </c>
      <c r="F162" s="46">
        <f t="shared" si="15"/>
        <v>-1</v>
      </c>
      <c r="G162" s="70" t="str">
        <f t="shared" si="10"/>
        <v> </v>
      </c>
      <c r="H162" s="71"/>
      <c r="I162" s="73"/>
      <c r="K162" s="66">
        <v>0.0032</v>
      </c>
      <c r="L162" s="56">
        <f ca="1" t="shared" si="11"/>
        <v>1</v>
      </c>
      <c r="M162" s="67">
        <v>42856</v>
      </c>
      <c r="N162" s="72"/>
      <c r="O162" s="72"/>
      <c r="P162" s="72"/>
      <c r="Q162" s="72"/>
    </row>
    <row r="163" spans="1:17" ht="12.75">
      <c r="A163" s="62">
        <f t="shared" si="12"/>
        <v>5</v>
      </c>
      <c r="B163" s="63">
        <f t="shared" si="13"/>
        <v>2017</v>
      </c>
      <c r="C163" s="52">
        <v>42856</v>
      </c>
      <c r="D163" s="330"/>
      <c r="E163" s="53" t="e">
        <f t="shared" si="14"/>
        <v>#DIV/0!</v>
      </c>
      <c r="F163" s="53">
        <f t="shared" si="15"/>
        <v>-1</v>
      </c>
      <c r="G163" s="70" t="str">
        <f t="shared" si="10"/>
        <v> </v>
      </c>
      <c r="H163" s="71"/>
      <c r="I163" s="73"/>
      <c r="K163" s="66">
        <v>0.0031</v>
      </c>
      <c r="L163" s="56">
        <f ca="1" t="shared" si="11"/>
        <v>1</v>
      </c>
      <c r="M163" s="67">
        <v>42887</v>
      </c>
      <c r="N163" s="72"/>
      <c r="O163" s="72"/>
      <c r="P163" s="72"/>
      <c r="Q163" s="72"/>
    </row>
    <row r="164" spans="1:17" ht="12.75">
      <c r="A164" s="68">
        <f t="shared" si="12"/>
        <v>6</v>
      </c>
      <c r="B164" s="69">
        <f t="shared" si="13"/>
        <v>2017</v>
      </c>
      <c r="C164" s="45">
        <v>42887</v>
      </c>
      <c r="D164" s="331"/>
      <c r="E164" s="46" t="e">
        <f t="shared" si="14"/>
        <v>#DIV/0!</v>
      </c>
      <c r="F164" s="46">
        <f t="shared" si="15"/>
        <v>-1</v>
      </c>
      <c r="G164" s="70" t="str">
        <f t="shared" si="10"/>
        <v> </v>
      </c>
      <c r="H164" s="71"/>
      <c r="I164" s="73"/>
      <c r="K164" s="66">
        <v>0.003</v>
      </c>
      <c r="L164" s="56">
        <f ca="1" t="shared" si="11"/>
        <v>1</v>
      </c>
      <c r="M164" s="67">
        <v>42917</v>
      </c>
      <c r="N164" s="72"/>
      <c r="O164" s="72"/>
      <c r="P164" s="72"/>
      <c r="Q164" s="72"/>
    </row>
    <row r="165" spans="1:17" ht="12.75">
      <c r="A165" s="62">
        <f t="shared" si="12"/>
        <v>7</v>
      </c>
      <c r="B165" s="63">
        <f t="shared" si="13"/>
        <v>2017</v>
      </c>
      <c r="C165" s="52">
        <v>42917</v>
      </c>
      <c r="D165" s="330"/>
      <c r="E165" s="53" t="e">
        <f t="shared" si="14"/>
        <v>#DIV/0!</v>
      </c>
      <c r="F165" s="53">
        <f t="shared" si="15"/>
        <v>-1</v>
      </c>
      <c r="G165" s="70" t="str">
        <f t="shared" si="10"/>
        <v> </v>
      </c>
      <c r="H165" s="71"/>
      <c r="I165" s="73"/>
      <c r="K165" s="66">
        <v>0.0031</v>
      </c>
      <c r="L165" s="56">
        <f ca="1" t="shared" si="11"/>
        <v>1</v>
      </c>
      <c r="M165" s="67">
        <v>42948</v>
      </c>
      <c r="N165" s="72"/>
      <c r="O165" s="72"/>
      <c r="P165" s="72"/>
      <c r="Q165" s="72"/>
    </row>
    <row r="166" spans="1:17" ht="12.75">
      <c r="A166" s="68">
        <f t="shared" si="12"/>
        <v>8</v>
      </c>
      <c r="B166" s="69">
        <f t="shared" si="13"/>
        <v>2017</v>
      </c>
      <c r="C166" s="45">
        <v>42948</v>
      </c>
      <c r="D166" s="331"/>
      <c r="E166" s="46" t="e">
        <f t="shared" si="14"/>
        <v>#DIV/0!</v>
      </c>
      <c r="F166" s="46">
        <f t="shared" si="15"/>
        <v>-1</v>
      </c>
      <c r="G166" s="70" t="str">
        <f t="shared" si="10"/>
        <v> </v>
      </c>
      <c r="H166" s="71"/>
      <c r="I166" s="73"/>
      <c r="K166" s="66">
        <v>0.0032</v>
      </c>
      <c r="L166" s="56">
        <f ca="1" t="shared" si="11"/>
        <v>1</v>
      </c>
      <c r="M166" s="67">
        <v>42979</v>
      </c>
      <c r="N166" s="72"/>
      <c r="O166" s="72"/>
      <c r="P166" s="72"/>
      <c r="Q166" s="72"/>
    </row>
    <row r="167" spans="1:17" ht="12.75">
      <c r="A167" s="62">
        <f t="shared" si="12"/>
        <v>9</v>
      </c>
      <c r="B167" s="63">
        <f t="shared" si="13"/>
        <v>2017</v>
      </c>
      <c r="C167" s="52">
        <v>42979</v>
      </c>
      <c r="D167" s="330"/>
      <c r="E167" s="53" t="e">
        <f t="shared" si="14"/>
        <v>#DIV/0!</v>
      </c>
      <c r="F167" s="53">
        <f t="shared" si="15"/>
        <v>-1</v>
      </c>
      <c r="G167" s="70" t="str">
        <f t="shared" si="10"/>
        <v> </v>
      </c>
      <c r="H167" s="71"/>
      <c r="I167" s="73"/>
      <c r="K167" s="66">
        <v>0.0036</v>
      </c>
      <c r="L167" s="56">
        <f ca="1" t="shared" si="11"/>
        <v>1</v>
      </c>
      <c r="M167" s="67">
        <v>43009</v>
      </c>
      <c r="N167" s="72"/>
      <c r="O167" s="72"/>
      <c r="P167" s="72"/>
      <c r="Q167" s="72"/>
    </row>
    <row r="168" spans="1:17" ht="12.75">
      <c r="A168" s="68">
        <f t="shared" si="12"/>
        <v>10</v>
      </c>
      <c r="B168" s="69">
        <f t="shared" si="13"/>
        <v>2017</v>
      </c>
      <c r="C168" s="45">
        <v>43009</v>
      </c>
      <c r="D168" s="331"/>
      <c r="E168" s="46" t="e">
        <f t="shared" si="14"/>
        <v>#DIV/0!</v>
      </c>
      <c r="F168" s="46">
        <f t="shared" si="15"/>
        <v>-1</v>
      </c>
      <c r="G168" s="70" t="str">
        <f aca="true" t="shared" si="16" ref="G168:G231">IF(AND(L168=0,D168=0),"&lt;-- Preencha o valor do IGP-M na coluna D"," ")</f>
        <v> </v>
      </c>
      <c r="H168" s="71"/>
      <c r="I168" s="73"/>
      <c r="K168" s="66">
        <v>0.004</v>
      </c>
      <c r="L168" s="56">
        <f aca="true" ca="1" t="shared" si="17" ref="L168:L231">IF(TODAY()&gt;M168,0,1)</f>
        <v>1</v>
      </c>
      <c r="M168" s="67">
        <v>43040</v>
      </c>
      <c r="N168" s="72"/>
      <c r="O168" s="72"/>
      <c r="P168" s="72"/>
      <c r="Q168" s="72"/>
    </row>
    <row r="169" spans="1:17" ht="12.75">
      <c r="A169" s="62">
        <f t="shared" si="12"/>
        <v>11</v>
      </c>
      <c r="B169" s="63">
        <f t="shared" si="13"/>
        <v>2017</v>
      </c>
      <c r="C169" s="52">
        <v>43040</v>
      </c>
      <c r="D169" s="330"/>
      <c r="E169" s="53" t="e">
        <f t="shared" si="14"/>
        <v>#DIV/0!</v>
      </c>
      <c r="F169" s="53">
        <f t="shared" si="15"/>
        <v>-1</v>
      </c>
      <c r="G169" s="70" t="str">
        <f t="shared" si="16"/>
        <v> </v>
      </c>
      <c r="H169" s="71"/>
      <c r="I169" s="73"/>
      <c r="K169" s="66">
        <v>0.0043</v>
      </c>
      <c r="L169" s="56">
        <f ca="1" t="shared" si="17"/>
        <v>1</v>
      </c>
      <c r="M169" s="67">
        <v>43070</v>
      </c>
      <c r="N169" s="72"/>
      <c r="O169" s="72"/>
      <c r="P169" s="72"/>
      <c r="Q169" s="72"/>
    </row>
    <row r="170" spans="1:17" ht="12.75">
      <c r="A170" s="68">
        <f t="shared" si="12"/>
        <v>12</v>
      </c>
      <c r="B170" s="69">
        <f t="shared" si="13"/>
        <v>2017</v>
      </c>
      <c r="C170" s="45">
        <v>43070</v>
      </c>
      <c r="D170" s="331"/>
      <c r="E170" s="46" t="e">
        <f t="shared" si="14"/>
        <v>#DIV/0!</v>
      </c>
      <c r="F170" s="46">
        <f t="shared" si="15"/>
        <v>-1</v>
      </c>
      <c r="G170" s="70" t="str">
        <f t="shared" si="16"/>
        <v> </v>
      </c>
      <c r="H170" s="71"/>
      <c r="I170" s="73"/>
      <c r="K170" s="66">
        <v>0.0047</v>
      </c>
      <c r="L170" s="56">
        <f ca="1" t="shared" si="17"/>
        <v>1</v>
      </c>
      <c r="M170" s="67">
        <v>43101</v>
      </c>
      <c r="N170" s="72"/>
      <c r="O170" s="72"/>
      <c r="P170" s="72"/>
      <c r="Q170" s="72"/>
    </row>
    <row r="171" spans="1:17" ht="12.75">
      <c r="A171" s="62">
        <f t="shared" si="12"/>
        <v>1</v>
      </c>
      <c r="B171" s="63">
        <f t="shared" si="13"/>
        <v>2018</v>
      </c>
      <c r="C171" s="52">
        <v>43101</v>
      </c>
      <c r="D171" s="330"/>
      <c r="E171" s="53" t="e">
        <f t="shared" si="14"/>
        <v>#DIV/0!</v>
      </c>
      <c r="F171" s="53">
        <f t="shared" si="15"/>
        <v>-1</v>
      </c>
      <c r="G171" s="70" t="str">
        <f t="shared" si="16"/>
        <v> </v>
      </c>
      <c r="H171" s="71"/>
      <c r="I171" s="73"/>
      <c r="K171" s="66">
        <v>0.005</v>
      </c>
      <c r="L171" s="56">
        <f ca="1" t="shared" si="17"/>
        <v>1</v>
      </c>
      <c r="M171" s="67">
        <v>43132</v>
      </c>
      <c r="N171" s="72"/>
      <c r="O171" s="72"/>
      <c r="P171" s="72"/>
      <c r="Q171" s="72"/>
    </row>
    <row r="172" spans="1:17" ht="12.75">
      <c r="A172" s="68">
        <f t="shared" si="12"/>
        <v>2</v>
      </c>
      <c r="B172" s="69">
        <f t="shared" si="13"/>
        <v>2018</v>
      </c>
      <c r="C172" s="45">
        <v>43132</v>
      </c>
      <c r="D172" s="331"/>
      <c r="E172" s="46" t="e">
        <f t="shared" si="14"/>
        <v>#DIV/0!</v>
      </c>
      <c r="F172" s="46">
        <f t="shared" si="15"/>
        <v>-1</v>
      </c>
      <c r="G172" s="70" t="str">
        <f t="shared" si="16"/>
        <v> </v>
      </c>
      <c r="H172" s="71"/>
      <c r="I172" s="73"/>
      <c r="K172" s="66">
        <v>0.004</v>
      </c>
      <c r="L172" s="56">
        <f ca="1" t="shared" si="17"/>
        <v>1</v>
      </c>
      <c r="M172" s="67">
        <v>43160</v>
      </c>
      <c r="N172" s="72"/>
      <c r="O172" s="72"/>
      <c r="P172" s="72"/>
      <c r="Q172" s="72"/>
    </row>
    <row r="173" spans="1:17" ht="12.75">
      <c r="A173" s="62">
        <f t="shared" si="12"/>
        <v>3</v>
      </c>
      <c r="B173" s="63">
        <f t="shared" si="13"/>
        <v>2018</v>
      </c>
      <c r="C173" s="52">
        <v>43160</v>
      </c>
      <c r="D173" s="330"/>
      <c r="E173" s="53" t="e">
        <f t="shared" si="14"/>
        <v>#DIV/0!</v>
      </c>
      <c r="F173" s="53">
        <f t="shared" si="15"/>
        <v>-1</v>
      </c>
      <c r="G173" s="70" t="str">
        <f t="shared" si="16"/>
        <v> </v>
      </c>
      <c r="H173" s="71"/>
      <c r="I173" s="73"/>
      <c r="K173" s="66">
        <v>0.0036</v>
      </c>
      <c r="L173" s="56">
        <f ca="1" t="shared" si="17"/>
        <v>1</v>
      </c>
      <c r="M173" s="67">
        <v>43191</v>
      </c>
      <c r="N173" s="72"/>
      <c r="O173" s="72"/>
      <c r="P173" s="72"/>
      <c r="Q173" s="72"/>
    </row>
    <row r="174" spans="1:17" ht="12.75">
      <c r="A174" s="68">
        <f t="shared" si="12"/>
        <v>4</v>
      </c>
      <c r="B174" s="69">
        <f t="shared" si="13"/>
        <v>2018</v>
      </c>
      <c r="C174" s="45">
        <v>43191</v>
      </c>
      <c r="D174" s="331"/>
      <c r="E174" s="46" t="e">
        <f t="shared" si="14"/>
        <v>#DIV/0!</v>
      </c>
      <c r="F174" s="46">
        <f t="shared" si="15"/>
        <v>-1</v>
      </c>
      <c r="G174" s="70" t="str">
        <f t="shared" si="16"/>
        <v> </v>
      </c>
      <c r="H174" s="71"/>
      <c r="I174" s="73"/>
      <c r="K174" s="66">
        <v>0.0032</v>
      </c>
      <c r="L174" s="56">
        <f ca="1" t="shared" si="17"/>
        <v>1</v>
      </c>
      <c r="M174" s="67">
        <v>43221</v>
      </c>
      <c r="N174" s="72"/>
      <c r="O174" s="72"/>
      <c r="P174" s="72"/>
      <c r="Q174" s="72"/>
    </row>
    <row r="175" spans="1:17" ht="12.75">
      <c r="A175" s="62">
        <f t="shared" si="12"/>
        <v>5</v>
      </c>
      <c r="B175" s="63">
        <f t="shared" si="13"/>
        <v>2018</v>
      </c>
      <c r="C175" s="52">
        <v>43221</v>
      </c>
      <c r="D175" s="330"/>
      <c r="E175" s="53" t="e">
        <f t="shared" si="14"/>
        <v>#DIV/0!</v>
      </c>
      <c r="F175" s="53">
        <f t="shared" si="15"/>
        <v>-1</v>
      </c>
      <c r="G175" s="70" t="str">
        <f t="shared" si="16"/>
        <v> </v>
      </c>
      <c r="H175" s="71"/>
      <c r="I175" s="73"/>
      <c r="K175" s="66">
        <v>0.0031</v>
      </c>
      <c r="L175" s="56">
        <f ca="1" t="shared" si="17"/>
        <v>1</v>
      </c>
      <c r="M175" s="67">
        <v>43252</v>
      </c>
      <c r="N175" s="72"/>
      <c r="O175" s="72"/>
      <c r="P175" s="72"/>
      <c r="Q175" s="72"/>
    </row>
    <row r="176" spans="1:17" ht="12.75">
      <c r="A176" s="68">
        <f t="shared" si="12"/>
        <v>6</v>
      </c>
      <c r="B176" s="69">
        <f t="shared" si="13"/>
        <v>2018</v>
      </c>
      <c r="C176" s="45">
        <v>43252</v>
      </c>
      <c r="D176" s="331"/>
      <c r="E176" s="46" t="e">
        <f t="shared" si="14"/>
        <v>#DIV/0!</v>
      </c>
      <c r="F176" s="46">
        <f t="shared" si="15"/>
        <v>-1</v>
      </c>
      <c r="G176" s="70" t="str">
        <f t="shared" si="16"/>
        <v> </v>
      </c>
      <c r="H176" s="71"/>
      <c r="I176" s="73"/>
      <c r="K176" s="66">
        <v>0.003</v>
      </c>
      <c r="L176" s="56">
        <f ca="1" t="shared" si="17"/>
        <v>1</v>
      </c>
      <c r="M176" s="67">
        <v>43282</v>
      </c>
      <c r="N176" s="72"/>
      <c r="O176" s="72"/>
      <c r="P176" s="72"/>
      <c r="Q176" s="72"/>
    </row>
    <row r="177" spans="1:17" ht="12.75">
      <c r="A177" s="62">
        <f t="shared" si="12"/>
        <v>7</v>
      </c>
      <c r="B177" s="63">
        <f t="shared" si="13"/>
        <v>2018</v>
      </c>
      <c r="C177" s="52">
        <v>43282</v>
      </c>
      <c r="D177" s="330"/>
      <c r="E177" s="53" t="e">
        <f t="shared" si="14"/>
        <v>#DIV/0!</v>
      </c>
      <c r="F177" s="53">
        <f t="shared" si="15"/>
        <v>-1</v>
      </c>
      <c r="G177" s="70" t="str">
        <f t="shared" si="16"/>
        <v> </v>
      </c>
      <c r="H177" s="71"/>
      <c r="I177" s="73"/>
      <c r="K177" s="66">
        <v>0.0031</v>
      </c>
      <c r="L177" s="56">
        <f ca="1" t="shared" si="17"/>
        <v>1</v>
      </c>
      <c r="M177" s="67">
        <v>43313</v>
      </c>
      <c r="N177" s="72"/>
      <c r="O177" s="72"/>
      <c r="P177" s="72"/>
      <c r="Q177" s="72"/>
    </row>
    <row r="178" spans="1:17" ht="12.75">
      <c r="A178" s="68">
        <f t="shared" si="12"/>
        <v>8</v>
      </c>
      <c r="B178" s="69">
        <f t="shared" si="13"/>
        <v>2018</v>
      </c>
      <c r="C178" s="45">
        <v>43313</v>
      </c>
      <c r="D178" s="331"/>
      <c r="E178" s="46" t="e">
        <f t="shared" si="14"/>
        <v>#DIV/0!</v>
      </c>
      <c r="F178" s="46">
        <f t="shared" si="15"/>
        <v>-1</v>
      </c>
      <c r="G178" s="70" t="str">
        <f t="shared" si="16"/>
        <v> </v>
      </c>
      <c r="H178" s="71"/>
      <c r="I178" s="73"/>
      <c r="K178" s="66">
        <v>0.0032</v>
      </c>
      <c r="L178" s="56">
        <f ca="1" t="shared" si="17"/>
        <v>1</v>
      </c>
      <c r="M178" s="67">
        <v>43344</v>
      </c>
      <c r="N178" s="72"/>
      <c r="O178" s="72"/>
      <c r="P178" s="72"/>
      <c r="Q178" s="72"/>
    </row>
    <row r="179" spans="1:17" ht="12.75">
      <c r="A179" s="62">
        <f t="shared" si="12"/>
        <v>9</v>
      </c>
      <c r="B179" s="63">
        <f t="shared" si="13"/>
        <v>2018</v>
      </c>
      <c r="C179" s="52">
        <v>43344</v>
      </c>
      <c r="D179" s="330"/>
      <c r="E179" s="53" t="e">
        <f t="shared" si="14"/>
        <v>#DIV/0!</v>
      </c>
      <c r="F179" s="53">
        <f t="shared" si="15"/>
        <v>-1</v>
      </c>
      <c r="G179" s="70" t="str">
        <f t="shared" si="16"/>
        <v> </v>
      </c>
      <c r="H179" s="71"/>
      <c r="I179" s="73"/>
      <c r="K179" s="66">
        <v>0.0036</v>
      </c>
      <c r="L179" s="56">
        <f ca="1" t="shared" si="17"/>
        <v>1</v>
      </c>
      <c r="M179" s="67">
        <v>43374</v>
      </c>
      <c r="N179" s="72"/>
      <c r="O179" s="72"/>
      <c r="P179" s="72"/>
      <c r="Q179" s="72"/>
    </row>
    <row r="180" spans="1:17" ht="12.75">
      <c r="A180" s="68">
        <f t="shared" si="12"/>
        <v>10</v>
      </c>
      <c r="B180" s="69">
        <f t="shared" si="13"/>
        <v>2018</v>
      </c>
      <c r="C180" s="45">
        <v>43374</v>
      </c>
      <c r="D180" s="331"/>
      <c r="E180" s="46" t="e">
        <f t="shared" si="14"/>
        <v>#DIV/0!</v>
      </c>
      <c r="F180" s="46">
        <f t="shared" si="15"/>
        <v>-1</v>
      </c>
      <c r="G180" s="70" t="str">
        <f t="shared" si="16"/>
        <v> </v>
      </c>
      <c r="H180" s="71"/>
      <c r="I180" s="73"/>
      <c r="K180" s="66">
        <v>0.004</v>
      </c>
      <c r="L180" s="56">
        <f ca="1" t="shared" si="17"/>
        <v>1</v>
      </c>
      <c r="M180" s="67">
        <v>43405</v>
      </c>
      <c r="N180" s="72"/>
      <c r="O180" s="72"/>
      <c r="P180" s="72"/>
      <c r="Q180" s="72"/>
    </row>
    <row r="181" spans="1:17" ht="12.75">
      <c r="A181" s="62">
        <f t="shared" si="12"/>
        <v>11</v>
      </c>
      <c r="B181" s="63">
        <f t="shared" si="13"/>
        <v>2018</v>
      </c>
      <c r="C181" s="52">
        <v>43405</v>
      </c>
      <c r="D181" s="330"/>
      <c r="E181" s="53" t="e">
        <f t="shared" si="14"/>
        <v>#DIV/0!</v>
      </c>
      <c r="F181" s="53">
        <f t="shared" si="15"/>
        <v>-1</v>
      </c>
      <c r="G181" s="70" t="str">
        <f t="shared" si="16"/>
        <v> </v>
      </c>
      <c r="H181" s="71"/>
      <c r="I181" s="73"/>
      <c r="K181" s="66">
        <v>0.0043</v>
      </c>
      <c r="L181" s="56">
        <f ca="1" t="shared" si="17"/>
        <v>1</v>
      </c>
      <c r="M181" s="67">
        <v>43435</v>
      </c>
      <c r="N181" s="72"/>
      <c r="O181" s="72"/>
      <c r="P181" s="72"/>
      <c r="Q181" s="72"/>
    </row>
    <row r="182" spans="1:17" ht="12.75">
      <c r="A182" s="68">
        <f t="shared" si="12"/>
        <v>12</v>
      </c>
      <c r="B182" s="69">
        <f t="shared" si="13"/>
        <v>2018</v>
      </c>
      <c r="C182" s="45">
        <v>43435</v>
      </c>
      <c r="D182" s="331"/>
      <c r="E182" s="46" t="e">
        <f t="shared" si="14"/>
        <v>#DIV/0!</v>
      </c>
      <c r="F182" s="46">
        <f t="shared" si="15"/>
        <v>-1</v>
      </c>
      <c r="G182" s="70" t="str">
        <f t="shared" si="16"/>
        <v> </v>
      </c>
      <c r="H182" s="71"/>
      <c r="I182" s="73"/>
      <c r="K182" s="66">
        <v>0.0047</v>
      </c>
      <c r="L182" s="56">
        <f ca="1" t="shared" si="17"/>
        <v>1</v>
      </c>
      <c r="M182" s="67">
        <v>43466</v>
      </c>
      <c r="N182" s="72"/>
      <c r="O182" s="72"/>
      <c r="P182" s="72"/>
      <c r="Q182" s="72"/>
    </row>
    <row r="183" spans="1:17" ht="12.75">
      <c r="A183" s="62">
        <f t="shared" si="12"/>
        <v>1</v>
      </c>
      <c r="B183" s="63">
        <f t="shared" si="13"/>
        <v>2019</v>
      </c>
      <c r="C183" s="52">
        <v>43466</v>
      </c>
      <c r="D183" s="330"/>
      <c r="E183" s="53" t="e">
        <f t="shared" si="14"/>
        <v>#DIV/0!</v>
      </c>
      <c r="F183" s="53">
        <f t="shared" si="15"/>
        <v>-1</v>
      </c>
      <c r="G183" s="70" t="str">
        <f t="shared" si="16"/>
        <v> </v>
      </c>
      <c r="H183" s="71"/>
      <c r="I183" s="73"/>
      <c r="K183" s="66">
        <v>0.005</v>
      </c>
      <c r="L183" s="56">
        <f ca="1" t="shared" si="17"/>
        <v>1</v>
      </c>
      <c r="M183" s="67">
        <v>43497</v>
      </c>
      <c r="N183" s="72"/>
      <c r="O183" s="72"/>
      <c r="P183" s="72"/>
      <c r="Q183" s="72"/>
    </row>
    <row r="184" spans="1:17" ht="12.75">
      <c r="A184" s="68">
        <f t="shared" si="12"/>
        <v>2</v>
      </c>
      <c r="B184" s="69">
        <f t="shared" si="13"/>
        <v>2019</v>
      </c>
      <c r="C184" s="45">
        <v>43497</v>
      </c>
      <c r="D184" s="331"/>
      <c r="E184" s="46" t="e">
        <f t="shared" si="14"/>
        <v>#DIV/0!</v>
      </c>
      <c r="F184" s="46">
        <f t="shared" si="15"/>
        <v>-1</v>
      </c>
      <c r="G184" s="70" t="str">
        <f t="shared" si="16"/>
        <v> </v>
      </c>
      <c r="H184" s="71"/>
      <c r="I184" s="73"/>
      <c r="K184" s="66">
        <v>0.004</v>
      </c>
      <c r="L184" s="56">
        <f ca="1" t="shared" si="17"/>
        <v>1</v>
      </c>
      <c r="M184" s="67">
        <v>43525</v>
      </c>
      <c r="N184" s="72"/>
      <c r="O184" s="72"/>
      <c r="P184" s="72"/>
      <c r="Q184" s="72"/>
    </row>
    <row r="185" spans="1:17" ht="12.75">
      <c r="A185" s="62">
        <f t="shared" si="12"/>
        <v>3</v>
      </c>
      <c r="B185" s="63">
        <f t="shared" si="13"/>
        <v>2019</v>
      </c>
      <c r="C185" s="52">
        <v>43525</v>
      </c>
      <c r="D185" s="330"/>
      <c r="E185" s="53" t="e">
        <f t="shared" si="14"/>
        <v>#DIV/0!</v>
      </c>
      <c r="F185" s="53">
        <f t="shared" si="15"/>
        <v>-1</v>
      </c>
      <c r="G185" s="70" t="str">
        <f t="shared" si="16"/>
        <v> </v>
      </c>
      <c r="H185" s="71"/>
      <c r="I185" s="73"/>
      <c r="K185" s="66">
        <v>0.0036</v>
      </c>
      <c r="L185" s="56">
        <f ca="1" t="shared" si="17"/>
        <v>1</v>
      </c>
      <c r="M185" s="67">
        <v>43556</v>
      </c>
      <c r="N185" s="72"/>
      <c r="O185" s="72"/>
      <c r="P185" s="72"/>
      <c r="Q185" s="72"/>
    </row>
    <row r="186" spans="1:17" ht="12.75">
      <c r="A186" s="68">
        <f t="shared" si="12"/>
        <v>4</v>
      </c>
      <c r="B186" s="69">
        <f t="shared" si="13"/>
        <v>2019</v>
      </c>
      <c r="C186" s="45">
        <v>43556</v>
      </c>
      <c r="D186" s="331"/>
      <c r="E186" s="46" t="e">
        <f t="shared" si="14"/>
        <v>#DIV/0!</v>
      </c>
      <c r="F186" s="46">
        <f t="shared" si="15"/>
        <v>-1</v>
      </c>
      <c r="G186" s="70" t="str">
        <f t="shared" si="16"/>
        <v> </v>
      </c>
      <c r="H186" s="71"/>
      <c r="I186" s="73"/>
      <c r="K186" s="66">
        <v>0.0032</v>
      </c>
      <c r="L186" s="56">
        <f ca="1" t="shared" si="17"/>
        <v>1</v>
      </c>
      <c r="M186" s="67">
        <v>43586</v>
      </c>
      <c r="N186" s="72"/>
      <c r="O186" s="72"/>
      <c r="P186" s="72"/>
      <c r="Q186" s="72"/>
    </row>
    <row r="187" spans="1:17" ht="12.75">
      <c r="A187" s="62">
        <f t="shared" si="12"/>
        <v>5</v>
      </c>
      <c r="B187" s="63">
        <f t="shared" si="13"/>
        <v>2019</v>
      </c>
      <c r="C187" s="52">
        <v>43586</v>
      </c>
      <c r="D187" s="330"/>
      <c r="E187" s="53" t="e">
        <f t="shared" si="14"/>
        <v>#DIV/0!</v>
      </c>
      <c r="F187" s="53">
        <f t="shared" si="15"/>
        <v>-1</v>
      </c>
      <c r="G187" s="70" t="str">
        <f t="shared" si="16"/>
        <v> </v>
      </c>
      <c r="H187" s="71"/>
      <c r="I187" s="73"/>
      <c r="K187" s="66">
        <v>0.0031</v>
      </c>
      <c r="L187" s="56">
        <f ca="1" t="shared" si="17"/>
        <v>1</v>
      </c>
      <c r="M187" s="67">
        <v>43617</v>
      </c>
      <c r="N187" s="72"/>
      <c r="O187" s="72"/>
      <c r="P187" s="72"/>
      <c r="Q187" s="72"/>
    </row>
    <row r="188" spans="1:17" ht="12.75">
      <c r="A188" s="68">
        <f t="shared" si="12"/>
        <v>6</v>
      </c>
      <c r="B188" s="69">
        <f t="shared" si="13"/>
        <v>2019</v>
      </c>
      <c r="C188" s="45">
        <v>43617</v>
      </c>
      <c r="D188" s="331"/>
      <c r="E188" s="46" t="e">
        <f t="shared" si="14"/>
        <v>#DIV/0!</v>
      </c>
      <c r="F188" s="46">
        <f t="shared" si="15"/>
        <v>-1</v>
      </c>
      <c r="G188" s="70" t="str">
        <f t="shared" si="16"/>
        <v> </v>
      </c>
      <c r="H188" s="71"/>
      <c r="I188" s="73"/>
      <c r="K188" s="66">
        <v>0.003</v>
      </c>
      <c r="L188" s="56">
        <f ca="1" t="shared" si="17"/>
        <v>1</v>
      </c>
      <c r="M188" s="67">
        <v>43647</v>
      </c>
      <c r="N188" s="72"/>
      <c r="O188" s="72"/>
      <c r="P188" s="72"/>
      <c r="Q188" s="72"/>
    </row>
    <row r="189" spans="1:17" ht="12.75">
      <c r="A189" s="62">
        <f t="shared" si="12"/>
        <v>7</v>
      </c>
      <c r="B189" s="63">
        <f t="shared" si="13"/>
        <v>2019</v>
      </c>
      <c r="C189" s="52">
        <v>43647</v>
      </c>
      <c r="D189" s="330"/>
      <c r="E189" s="53" t="e">
        <f t="shared" si="14"/>
        <v>#DIV/0!</v>
      </c>
      <c r="F189" s="53">
        <f t="shared" si="15"/>
        <v>-1</v>
      </c>
      <c r="G189" s="70" t="str">
        <f t="shared" si="16"/>
        <v> </v>
      </c>
      <c r="H189" s="71"/>
      <c r="I189" s="73"/>
      <c r="K189" s="66">
        <v>0.0031</v>
      </c>
      <c r="L189" s="56">
        <f ca="1" t="shared" si="17"/>
        <v>1</v>
      </c>
      <c r="M189" s="67">
        <v>43678</v>
      </c>
      <c r="N189" s="72"/>
      <c r="O189" s="72"/>
      <c r="P189" s="72"/>
      <c r="Q189" s="72"/>
    </row>
    <row r="190" spans="1:17" ht="12.75">
      <c r="A190" s="68">
        <f t="shared" si="12"/>
        <v>8</v>
      </c>
      <c r="B190" s="69">
        <f t="shared" si="13"/>
        <v>2019</v>
      </c>
      <c r="C190" s="45">
        <v>43678</v>
      </c>
      <c r="D190" s="331"/>
      <c r="E190" s="46" t="e">
        <f t="shared" si="14"/>
        <v>#DIV/0!</v>
      </c>
      <c r="F190" s="46">
        <f t="shared" si="15"/>
        <v>-1</v>
      </c>
      <c r="G190" s="70" t="str">
        <f t="shared" si="16"/>
        <v> </v>
      </c>
      <c r="H190" s="71"/>
      <c r="I190" s="73"/>
      <c r="K190" s="66">
        <v>0.0032</v>
      </c>
      <c r="L190" s="56">
        <f ca="1" t="shared" si="17"/>
        <v>1</v>
      </c>
      <c r="M190" s="67">
        <v>43709</v>
      </c>
      <c r="N190" s="72"/>
      <c r="O190" s="72"/>
      <c r="P190" s="72"/>
      <c r="Q190" s="72"/>
    </row>
    <row r="191" spans="1:17" ht="12.75">
      <c r="A191" s="62">
        <f t="shared" si="12"/>
        <v>9</v>
      </c>
      <c r="B191" s="63">
        <f t="shared" si="13"/>
        <v>2019</v>
      </c>
      <c r="C191" s="52">
        <v>43709</v>
      </c>
      <c r="D191" s="330"/>
      <c r="E191" s="53" t="e">
        <f t="shared" si="14"/>
        <v>#DIV/0!</v>
      </c>
      <c r="F191" s="53">
        <f t="shared" si="15"/>
        <v>-1</v>
      </c>
      <c r="G191" s="70" t="str">
        <f t="shared" si="16"/>
        <v> </v>
      </c>
      <c r="H191" s="71"/>
      <c r="I191" s="73"/>
      <c r="K191" s="66">
        <v>0.0036</v>
      </c>
      <c r="L191" s="56">
        <f ca="1" t="shared" si="17"/>
        <v>1</v>
      </c>
      <c r="M191" s="67">
        <v>43739</v>
      </c>
      <c r="N191" s="72"/>
      <c r="O191" s="72"/>
      <c r="P191" s="72"/>
      <c r="Q191" s="72"/>
    </row>
    <row r="192" spans="1:17" ht="12.75">
      <c r="A192" s="68">
        <f t="shared" si="12"/>
        <v>10</v>
      </c>
      <c r="B192" s="69">
        <f t="shared" si="13"/>
        <v>2019</v>
      </c>
      <c r="C192" s="45">
        <v>43739</v>
      </c>
      <c r="D192" s="331"/>
      <c r="E192" s="46" t="e">
        <f t="shared" si="14"/>
        <v>#DIV/0!</v>
      </c>
      <c r="F192" s="46">
        <f t="shared" si="15"/>
        <v>-1</v>
      </c>
      <c r="G192" s="70" t="str">
        <f t="shared" si="16"/>
        <v> </v>
      </c>
      <c r="H192" s="71"/>
      <c r="I192" s="73"/>
      <c r="K192" s="66">
        <v>0.004</v>
      </c>
      <c r="L192" s="56">
        <f ca="1" t="shared" si="17"/>
        <v>1</v>
      </c>
      <c r="M192" s="67">
        <v>43770</v>
      </c>
      <c r="N192" s="72"/>
      <c r="O192" s="72"/>
      <c r="P192" s="72"/>
      <c r="Q192" s="72"/>
    </row>
    <row r="193" spans="1:17" ht="12.75">
      <c r="A193" s="62">
        <f t="shared" si="12"/>
        <v>11</v>
      </c>
      <c r="B193" s="63">
        <f t="shared" si="13"/>
        <v>2019</v>
      </c>
      <c r="C193" s="52">
        <v>43770</v>
      </c>
      <c r="D193" s="330"/>
      <c r="E193" s="53" t="e">
        <f t="shared" si="14"/>
        <v>#DIV/0!</v>
      </c>
      <c r="F193" s="53">
        <f t="shared" si="15"/>
        <v>-1</v>
      </c>
      <c r="G193" s="70" t="str">
        <f t="shared" si="16"/>
        <v> </v>
      </c>
      <c r="H193" s="71"/>
      <c r="I193" s="73"/>
      <c r="K193" s="66">
        <v>0.0043</v>
      </c>
      <c r="L193" s="56">
        <f ca="1" t="shared" si="17"/>
        <v>1</v>
      </c>
      <c r="M193" s="67">
        <v>43800</v>
      </c>
      <c r="N193" s="72"/>
      <c r="O193" s="72"/>
      <c r="P193" s="72"/>
      <c r="Q193" s="72"/>
    </row>
    <row r="194" spans="1:17" ht="12.75">
      <c r="A194" s="68">
        <f t="shared" si="12"/>
        <v>12</v>
      </c>
      <c r="B194" s="69">
        <f t="shared" si="13"/>
        <v>2019</v>
      </c>
      <c r="C194" s="45">
        <v>43800</v>
      </c>
      <c r="D194" s="331"/>
      <c r="E194" s="46" t="e">
        <f t="shared" si="14"/>
        <v>#DIV/0!</v>
      </c>
      <c r="F194" s="46">
        <f t="shared" si="15"/>
        <v>-1</v>
      </c>
      <c r="G194" s="70" t="str">
        <f t="shared" si="16"/>
        <v> </v>
      </c>
      <c r="H194" s="71"/>
      <c r="I194" s="73"/>
      <c r="K194" s="66">
        <v>0.0047</v>
      </c>
      <c r="L194" s="56">
        <f ca="1" t="shared" si="17"/>
        <v>1</v>
      </c>
      <c r="M194" s="67">
        <v>43831</v>
      </c>
      <c r="N194" s="72"/>
      <c r="O194" s="72"/>
      <c r="P194" s="72"/>
      <c r="Q194" s="72"/>
    </row>
    <row r="195" spans="1:17" ht="12.75">
      <c r="A195" s="62">
        <f t="shared" si="12"/>
        <v>1</v>
      </c>
      <c r="B195" s="63">
        <f t="shared" si="13"/>
        <v>2020</v>
      </c>
      <c r="C195" s="52">
        <v>43831</v>
      </c>
      <c r="D195" s="330"/>
      <c r="E195" s="53" t="e">
        <f t="shared" si="14"/>
        <v>#DIV/0!</v>
      </c>
      <c r="F195" s="53">
        <f t="shared" si="15"/>
        <v>-1</v>
      </c>
      <c r="G195" s="70" t="str">
        <f t="shared" si="16"/>
        <v> </v>
      </c>
      <c r="H195" s="71"/>
      <c r="I195" s="73"/>
      <c r="K195" s="66">
        <v>0.005</v>
      </c>
      <c r="L195" s="56">
        <f ca="1" t="shared" si="17"/>
        <v>1</v>
      </c>
      <c r="M195" s="67">
        <v>43862</v>
      </c>
      <c r="N195" s="72"/>
      <c r="O195" s="72"/>
      <c r="P195" s="72"/>
      <c r="Q195" s="72"/>
    </row>
    <row r="196" spans="1:17" ht="12.75">
      <c r="A196" s="68">
        <f aca="true" t="shared" si="18" ref="A196:A259">MONTH(C196)</f>
        <v>2</v>
      </c>
      <c r="B196" s="69">
        <f aca="true" t="shared" si="19" ref="B196:B259">YEAR(C196)</f>
        <v>2020</v>
      </c>
      <c r="C196" s="45">
        <v>43862</v>
      </c>
      <c r="D196" s="331"/>
      <c r="E196" s="46" t="e">
        <f t="shared" si="14"/>
        <v>#DIV/0!</v>
      </c>
      <c r="F196" s="46">
        <f t="shared" si="15"/>
        <v>-1</v>
      </c>
      <c r="G196" s="70" t="str">
        <f t="shared" si="16"/>
        <v> </v>
      </c>
      <c r="H196" s="71"/>
      <c r="I196" s="73"/>
      <c r="K196" s="66">
        <v>0.004</v>
      </c>
      <c r="L196" s="56">
        <f ca="1" t="shared" si="17"/>
        <v>1</v>
      </c>
      <c r="M196" s="67">
        <v>43891</v>
      </c>
      <c r="N196" s="72"/>
      <c r="O196" s="72"/>
      <c r="P196" s="72"/>
      <c r="Q196" s="72"/>
    </row>
    <row r="197" spans="1:17" ht="12.75">
      <c r="A197" s="62">
        <f t="shared" si="18"/>
        <v>3</v>
      </c>
      <c r="B197" s="63">
        <f t="shared" si="19"/>
        <v>2020</v>
      </c>
      <c r="C197" s="52">
        <v>43891</v>
      </c>
      <c r="D197" s="330"/>
      <c r="E197" s="53" t="e">
        <f aca="true" t="shared" si="20" ref="E197:E260">(D197/D196)-1</f>
        <v>#DIV/0!</v>
      </c>
      <c r="F197" s="53">
        <f aca="true" t="shared" si="21" ref="F197:F260">(D197/$D$4)-1</f>
        <v>-1</v>
      </c>
      <c r="G197" s="70" t="str">
        <f t="shared" si="16"/>
        <v> </v>
      </c>
      <c r="H197" s="71"/>
      <c r="I197" s="73"/>
      <c r="K197" s="66">
        <v>0.0036</v>
      </c>
      <c r="L197" s="56">
        <f ca="1" t="shared" si="17"/>
        <v>1</v>
      </c>
      <c r="M197" s="67">
        <v>43922</v>
      </c>
      <c r="N197" s="72"/>
      <c r="O197" s="72"/>
      <c r="P197" s="72"/>
      <c r="Q197" s="72"/>
    </row>
    <row r="198" spans="1:17" ht="12.75">
      <c r="A198" s="68">
        <f t="shared" si="18"/>
        <v>4</v>
      </c>
      <c r="B198" s="69">
        <f t="shared" si="19"/>
        <v>2020</v>
      </c>
      <c r="C198" s="45">
        <v>43922</v>
      </c>
      <c r="D198" s="331"/>
      <c r="E198" s="46" t="e">
        <f t="shared" si="20"/>
        <v>#DIV/0!</v>
      </c>
      <c r="F198" s="46">
        <f t="shared" si="21"/>
        <v>-1</v>
      </c>
      <c r="G198" s="70" t="str">
        <f t="shared" si="16"/>
        <v> </v>
      </c>
      <c r="H198" s="71"/>
      <c r="I198" s="73"/>
      <c r="K198" s="66">
        <v>0.0032</v>
      </c>
      <c r="L198" s="56">
        <f ca="1" t="shared" si="17"/>
        <v>1</v>
      </c>
      <c r="M198" s="67">
        <v>43952</v>
      </c>
      <c r="N198" s="72"/>
      <c r="O198" s="72"/>
      <c r="P198" s="72"/>
      <c r="Q198" s="72"/>
    </row>
    <row r="199" spans="1:17" ht="12.75">
      <c r="A199" s="62">
        <f t="shared" si="18"/>
        <v>5</v>
      </c>
      <c r="B199" s="63">
        <f t="shared" si="19"/>
        <v>2020</v>
      </c>
      <c r="C199" s="52">
        <v>43952</v>
      </c>
      <c r="D199" s="330"/>
      <c r="E199" s="53" t="e">
        <f t="shared" si="20"/>
        <v>#DIV/0!</v>
      </c>
      <c r="F199" s="53">
        <f t="shared" si="21"/>
        <v>-1</v>
      </c>
      <c r="G199" s="70" t="str">
        <f t="shared" si="16"/>
        <v> </v>
      </c>
      <c r="H199" s="71"/>
      <c r="I199" s="73"/>
      <c r="K199" s="66">
        <v>0.0031</v>
      </c>
      <c r="L199" s="56">
        <f ca="1" t="shared" si="17"/>
        <v>1</v>
      </c>
      <c r="M199" s="67">
        <v>43983</v>
      </c>
      <c r="N199" s="72"/>
      <c r="O199" s="72"/>
      <c r="P199" s="72"/>
      <c r="Q199" s="72"/>
    </row>
    <row r="200" spans="1:17" ht="12.75">
      <c r="A200" s="68">
        <f t="shared" si="18"/>
        <v>6</v>
      </c>
      <c r="B200" s="69">
        <f t="shared" si="19"/>
        <v>2020</v>
      </c>
      <c r="C200" s="45">
        <v>43983</v>
      </c>
      <c r="D200" s="331"/>
      <c r="E200" s="46" t="e">
        <f t="shared" si="20"/>
        <v>#DIV/0!</v>
      </c>
      <c r="F200" s="46">
        <f t="shared" si="21"/>
        <v>-1</v>
      </c>
      <c r="G200" s="70" t="str">
        <f t="shared" si="16"/>
        <v> </v>
      </c>
      <c r="H200" s="71"/>
      <c r="I200" s="73"/>
      <c r="K200" s="66">
        <v>0.003</v>
      </c>
      <c r="L200" s="56">
        <f ca="1" t="shared" si="17"/>
        <v>1</v>
      </c>
      <c r="M200" s="67">
        <v>44013</v>
      </c>
      <c r="N200" s="72"/>
      <c r="O200" s="72"/>
      <c r="P200" s="72"/>
      <c r="Q200" s="72"/>
    </row>
    <row r="201" spans="1:17" ht="12.75">
      <c r="A201" s="62">
        <f t="shared" si="18"/>
        <v>7</v>
      </c>
      <c r="B201" s="63">
        <f t="shared" si="19"/>
        <v>2020</v>
      </c>
      <c r="C201" s="52">
        <v>44013</v>
      </c>
      <c r="D201" s="330"/>
      <c r="E201" s="53" t="e">
        <f t="shared" si="20"/>
        <v>#DIV/0!</v>
      </c>
      <c r="F201" s="53">
        <f t="shared" si="21"/>
        <v>-1</v>
      </c>
      <c r="G201" s="70" t="str">
        <f t="shared" si="16"/>
        <v> </v>
      </c>
      <c r="H201" s="71"/>
      <c r="I201" s="73"/>
      <c r="K201" s="66">
        <v>0.0031</v>
      </c>
      <c r="L201" s="56">
        <f ca="1" t="shared" si="17"/>
        <v>1</v>
      </c>
      <c r="M201" s="67">
        <v>44044</v>
      </c>
      <c r="N201" s="72"/>
      <c r="O201" s="72"/>
      <c r="P201" s="72"/>
      <c r="Q201" s="72"/>
    </row>
    <row r="202" spans="1:17" ht="12.75">
      <c r="A202" s="68">
        <f t="shared" si="18"/>
        <v>8</v>
      </c>
      <c r="B202" s="69">
        <f t="shared" si="19"/>
        <v>2020</v>
      </c>
      <c r="C202" s="45">
        <v>44044</v>
      </c>
      <c r="D202" s="331"/>
      <c r="E202" s="46" t="e">
        <f t="shared" si="20"/>
        <v>#DIV/0!</v>
      </c>
      <c r="F202" s="46">
        <f t="shared" si="21"/>
        <v>-1</v>
      </c>
      <c r="G202" s="70" t="str">
        <f t="shared" si="16"/>
        <v> </v>
      </c>
      <c r="H202" s="71"/>
      <c r="I202" s="73"/>
      <c r="K202" s="66">
        <v>0.0032</v>
      </c>
      <c r="L202" s="56">
        <f ca="1" t="shared" si="17"/>
        <v>1</v>
      </c>
      <c r="M202" s="67">
        <v>44075</v>
      </c>
      <c r="N202" s="72"/>
      <c r="O202" s="72"/>
      <c r="P202" s="72"/>
      <c r="Q202" s="72"/>
    </row>
    <row r="203" spans="1:17" ht="12.75">
      <c r="A203" s="62">
        <f t="shared" si="18"/>
        <v>9</v>
      </c>
      <c r="B203" s="63">
        <f t="shared" si="19"/>
        <v>2020</v>
      </c>
      <c r="C203" s="52">
        <v>44075</v>
      </c>
      <c r="D203" s="330"/>
      <c r="E203" s="53" t="e">
        <f t="shared" si="20"/>
        <v>#DIV/0!</v>
      </c>
      <c r="F203" s="53">
        <f t="shared" si="21"/>
        <v>-1</v>
      </c>
      <c r="G203" s="70" t="str">
        <f t="shared" si="16"/>
        <v> </v>
      </c>
      <c r="H203" s="71"/>
      <c r="I203" s="73"/>
      <c r="K203" s="66">
        <v>0.0036</v>
      </c>
      <c r="L203" s="56">
        <f ca="1" t="shared" si="17"/>
        <v>1</v>
      </c>
      <c r="M203" s="67">
        <v>44105</v>
      </c>
      <c r="N203" s="72"/>
      <c r="O203" s="72"/>
      <c r="P203" s="72"/>
      <c r="Q203" s="72"/>
    </row>
    <row r="204" spans="1:17" ht="12.75">
      <c r="A204" s="68">
        <f t="shared" si="18"/>
        <v>10</v>
      </c>
      <c r="B204" s="69">
        <f t="shared" si="19"/>
        <v>2020</v>
      </c>
      <c r="C204" s="45">
        <v>44105</v>
      </c>
      <c r="D204" s="331"/>
      <c r="E204" s="46" t="e">
        <f t="shared" si="20"/>
        <v>#DIV/0!</v>
      </c>
      <c r="F204" s="46">
        <f t="shared" si="21"/>
        <v>-1</v>
      </c>
      <c r="G204" s="70" t="str">
        <f t="shared" si="16"/>
        <v> </v>
      </c>
      <c r="H204" s="71"/>
      <c r="I204" s="73"/>
      <c r="K204" s="66">
        <v>0.004</v>
      </c>
      <c r="L204" s="56">
        <f ca="1" t="shared" si="17"/>
        <v>1</v>
      </c>
      <c r="M204" s="67">
        <v>44136</v>
      </c>
      <c r="N204" s="72"/>
      <c r="O204" s="72"/>
      <c r="P204" s="72"/>
      <c r="Q204" s="72"/>
    </row>
    <row r="205" spans="1:17" ht="12.75">
      <c r="A205" s="62">
        <f t="shared" si="18"/>
        <v>11</v>
      </c>
      <c r="B205" s="63">
        <f t="shared" si="19"/>
        <v>2020</v>
      </c>
      <c r="C205" s="52">
        <v>44136</v>
      </c>
      <c r="D205" s="330"/>
      <c r="E205" s="53" t="e">
        <f t="shared" si="20"/>
        <v>#DIV/0!</v>
      </c>
      <c r="F205" s="53">
        <f t="shared" si="21"/>
        <v>-1</v>
      </c>
      <c r="G205" s="70" t="str">
        <f t="shared" si="16"/>
        <v> </v>
      </c>
      <c r="H205" s="71"/>
      <c r="I205" s="73"/>
      <c r="K205" s="66">
        <v>0.0043</v>
      </c>
      <c r="L205" s="56">
        <f ca="1" t="shared" si="17"/>
        <v>1</v>
      </c>
      <c r="M205" s="67">
        <v>44166</v>
      </c>
      <c r="N205" s="72"/>
      <c r="O205" s="72"/>
      <c r="P205" s="72"/>
      <c r="Q205" s="72"/>
    </row>
    <row r="206" spans="1:17" ht="12.75">
      <c r="A206" s="68">
        <f t="shared" si="18"/>
        <v>12</v>
      </c>
      <c r="B206" s="69">
        <f t="shared" si="19"/>
        <v>2020</v>
      </c>
      <c r="C206" s="45">
        <v>44166</v>
      </c>
      <c r="D206" s="331"/>
      <c r="E206" s="46" t="e">
        <f t="shared" si="20"/>
        <v>#DIV/0!</v>
      </c>
      <c r="F206" s="46">
        <f t="shared" si="21"/>
        <v>-1</v>
      </c>
      <c r="G206" s="70" t="str">
        <f t="shared" si="16"/>
        <v> </v>
      </c>
      <c r="H206" s="71"/>
      <c r="I206" s="73"/>
      <c r="K206" s="66">
        <v>0.0047</v>
      </c>
      <c r="L206" s="56">
        <f ca="1" t="shared" si="17"/>
        <v>1</v>
      </c>
      <c r="M206" s="67">
        <v>44197</v>
      </c>
      <c r="N206" s="72"/>
      <c r="O206" s="72"/>
      <c r="P206" s="72"/>
      <c r="Q206" s="72"/>
    </row>
    <row r="207" spans="1:17" ht="12.75">
      <c r="A207" s="62">
        <f t="shared" si="18"/>
        <v>1</v>
      </c>
      <c r="B207" s="63">
        <f t="shared" si="19"/>
        <v>2021</v>
      </c>
      <c r="C207" s="52">
        <v>44197</v>
      </c>
      <c r="D207" s="330"/>
      <c r="E207" s="53" t="e">
        <f t="shared" si="20"/>
        <v>#DIV/0!</v>
      </c>
      <c r="F207" s="53">
        <f t="shared" si="21"/>
        <v>-1</v>
      </c>
      <c r="G207" s="70" t="str">
        <f t="shared" si="16"/>
        <v> </v>
      </c>
      <c r="H207" s="71"/>
      <c r="I207" s="73"/>
      <c r="K207" s="66">
        <v>0.005</v>
      </c>
      <c r="L207" s="56">
        <f ca="1" t="shared" si="17"/>
        <v>1</v>
      </c>
      <c r="M207" s="67">
        <v>44228</v>
      </c>
      <c r="N207" s="72"/>
      <c r="O207" s="72"/>
      <c r="P207" s="72"/>
      <c r="Q207" s="72"/>
    </row>
    <row r="208" spans="1:17" ht="12.75">
      <c r="A208" s="68">
        <f t="shared" si="18"/>
        <v>2</v>
      </c>
      <c r="B208" s="69">
        <f t="shared" si="19"/>
        <v>2021</v>
      </c>
      <c r="C208" s="45">
        <v>44228</v>
      </c>
      <c r="D208" s="331"/>
      <c r="E208" s="46" t="e">
        <f t="shared" si="20"/>
        <v>#DIV/0!</v>
      </c>
      <c r="F208" s="46">
        <f t="shared" si="21"/>
        <v>-1</v>
      </c>
      <c r="G208" s="70" t="str">
        <f t="shared" si="16"/>
        <v> </v>
      </c>
      <c r="H208" s="71"/>
      <c r="I208" s="73"/>
      <c r="K208" s="66">
        <v>0.004</v>
      </c>
      <c r="L208" s="56">
        <f ca="1" t="shared" si="17"/>
        <v>1</v>
      </c>
      <c r="M208" s="67">
        <v>44256</v>
      </c>
      <c r="N208" s="72"/>
      <c r="O208" s="72"/>
      <c r="P208" s="72"/>
      <c r="Q208" s="72"/>
    </row>
    <row r="209" spans="1:17" ht="12.75">
      <c r="A209" s="62">
        <f t="shared" si="18"/>
        <v>3</v>
      </c>
      <c r="B209" s="63">
        <f t="shared" si="19"/>
        <v>2021</v>
      </c>
      <c r="C209" s="52">
        <v>44256</v>
      </c>
      <c r="D209" s="330"/>
      <c r="E209" s="53" t="e">
        <f t="shared" si="20"/>
        <v>#DIV/0!</v>
      </c>
      <c r="F209" s="53">
        <f t="shared" si="21"/>
        <v>-1</v>
      </c>
      <c r="G209" s="70" t="str">
        <f t="shared" si="16"/>
        <v> </v>
      </c>
      <c r="H209" s="71"/>
      <c r="I209" s="73"/>
      <c r="K209" s="66">
        <v>0.0036</v>
      </c>
      <c r="L209" s="56">
        <f ca="1" t="shared" si="17"/>
        <v>1</v>
      </c>
      <c r="M209" s="67">
        <v>44287</v>
      </c>
      <c r="N209" s="72"/>
      <c r="O209" s="72"/>
      <c r="P209" s="72"/>
      <c r="Q209" s="72"/>
    </row>
    <row r="210" spans="1:17" ht="12.75">
      <c r="A210" s="68">
        <f t="shared" si="18"/>
        <v>4</v>
      </c>
      <c r="B210" s="69">
        <f t="shared" si="19"/>
        <v>2021</v>
      </c>
      <c r="C210" s="45">
        <v>44287</v>
      </c>
      <c r="D210" s="331"/>
      <c r="E210" s="46" t="e">
        <f t="shared" si="20"/>
        <v>#DIV/0!</v>
      </c>
      <c r="F210" s="46">
        <f t="shared" si="21"/>
        <v>-1</v>
      </c>
      <c r="G210" s="70" t="str">
        <f t="shared" si="16"/>
        <v> </v>
      </c>
      <c r="H210" s="71"/>
      <c r="I210" s="73"/>
      <c r="K210" s="66">
        <v>0.0032</v>
      </c>
      <c r="L210" s="56">
        <f ca="1" t="shared" si="17"/>
        <v>1</v>
      </c>
      <c r="M210" s="67">
        <v>44317</v>
      </c>
      <c r="N210" s="72"/>
      <c r="O210" s="72"/>
      <c r="P210" s="72"/>
      <c r="Q210" s="72"/>
    </row>
    <row r="211" spans="1:17" ht="12.75">
      <c r="A211" s="62">
        <f t="shared" si="18"/>
        <v>5</v>
      </c>
      <c r="B211" s="63">
        <f t="shared" si="19"/>
        <v>2021</v>
      </c>
      <c r="C211" s="52">
        <v>44317</v>
      </c>
      <c r="D211" s="330"/>
      <c r="E211" s="53" t="e">
        <f t="shared" si="20"/>
        <v>#DIV/0!</v>
      </c>
      <c r="F211" s="53">
        <f t="shared" si="21"/>
        <v>-1</v>
      </c>
      <c r="G211" s="70" t="str">
        <f t="shared" si="16"/>
        <v> </v>
      </c>
      <c r="H211" s="71"/>
      <c r="I211" s="73"/>
      <c r="K211" s="66">
        <v>0.0031</v>
      </c>
      <c r="L211" s="56">
        <f ca="1" t="shared" si="17"/>
        <v>1</v>
      </c>
      <c r="M211" s="67">
        <v>44348</v>
      </c>
      <c r="N211" s="72"/>
      <c r="O211" s="72"/>
      <c r="P211" s="72"/>
      <c r="Q211" s="72"/>
    </row>
    <row r="212" spans="1:17" ht="12.75">
      <c r="A212" s="68">
        <f t="shared" si="18"/>
        <v>6</v>
      </c>
      <c r="B212" s="69">
        <f t="shared" si="19"/>
        <v>2021</v>
      </c>
      <c r="C212" s="45">
        <v>44348</v>
      </c>
      <c r="D212" s="331"/>
      <c r="E212" s="46" t="e">
        <f t="shared" si="20"/>
        <v>#DIV/0!</v>
      </c>
      <c r="F212" s="46">
        <f t="shared" si="21"/>
        <v>-1</v>
      </c>
      <c r="G212" s="70" t="str">
        <f t="shared" si="16"/>
        <v> </v>
      </c>
      <c r="H212" s="71"/>
      <c r="I212" s="73"/>
      <c r="K212" s="66">
        <v>0.003</v>
      </c>
      <c r="L212" s="56">
        <f ca="1" t="shared" si="17"/>
        <v>1</v>
      </c>
      <c r="M212" s="67">
        <v>44378</v>
      </c>
      <c r="N212" s="72"/>
      <c r="O212" s="72"/>
      <c r="P212" s="72"/>
      <c r="Q212" s="72"/>
    </row>
    <row r="213" spans="1:17" ht="12.75">
      <c r="A213" s="62">
        <f t="shared" si="18"/>
        <v>7</v>
      </c>
      <c r="B213" s="63">
        <f t="shared" si="19"/>
        <v>2021</v>
      </c>
      <c r="C213" s="52">
        <v>44378</v>
      </c>
      <c r="D213" s="330"/>
      <c r="E213" s="53" t="e">
        <f t="shared" si="20"/>
        <v>#DIV/0!</v>
      </c>
      <c r="F213" s="53">
        <f t="shared" si="21"/>
        <v>-1</v>
      </c>
      <c r="G213" s="70" t="str">
        <f t="shared" si="16"/>
        <v> </v>
      </c>
      <c r="H213" s="71"/>
      <c r="I213" s="73"/>
      <c r="K213" s="66">
        <v>0.0031</v>
      </c>
      <c r="L213" s="56">
        <f ca="1" t="shared" si="17"/>
        <v>1</v>
      </c>
      <c r="M213" s="67">
        <v>44409</v>
      </c>
      <c r="N213" s="72"/>
      <c r="O213" s="72"/>
      <c r="P213" s="72"/>
      <c r="Q213" s="72"/>
    </row>
    <row r="214" spans="1:17" ht="12.75">
      <c r="A214" s="68">
        <f t="shared" si="18"/>
        <v>8</v>
      </c>
      <c r="B214" s="69">
        <f t="shared" si="19"/>
        <v>2021</v>
      </c>
      <c r="C214" s="45">
        <v>44409</v>
      </c>
      <c r="D214" s="331"/>
      <c r="E214" s="46" t="e">
        <f t="shared" si="20"/>
        <v>#DIV/0!</v>
      </c>
      <c r="F214" s="46">
        <f t="shared" si="21"/>
        <v>-1</v>
      </c>
      <c r="G214" s="70" t="str">
        <f t="shared" si="16"/>
        <v> </v>
      </c>
      <c r="H214" s="71"/>
      <c r="I214" s="73"/>
      <c r="K214" s="66">
        <v>0.0032</v>
      </c>
      <c r="L214" s="56">
        <f ca="1" t="shared" si="17"/>
        <v>1</v>
      </c>
      <c r="M214" s="67">
        <v>44440</v>
      </c>
      <c r="N214" s="72"/>
      <c r="O214" s="72"/>
      <c r="P214" s="72"/>
      <c r="Q214" s="72"/>
    </row>
    <row r="215" spans="1:17" ht="12.75">
      <c r="A215" s="62">
        <f t="shared" si="18"/>
        <v>9</v>
      </c>
      <c r="B215" s="63">
        <f t="shared" si="19"/>
        <v>2021</v>
      </c>
      <c r="C215" s="52">
        <v>44440</v>
      </c>
      <c r="D215" s="330"/>
      <c r="E215" s="53" t="e">
        <f t="shared" si="20"/>
        <v>#DIV/0!</v>
      </c>
      <c r="F215" s="53">
        <f t="shared" si="21"/>
        <v>-1</v>
      </c>
      <c r="G215" s="70" t="str">
        <f t="shared" si="16"/>
        <v> </v>
      </c>
      <c r="H215" s="71"/>
      <c r="I215" s="73"/>
      <c r="K215" s="66">
        <v>0.0036</v>
      </c>
      <c r="L215" s="56">
        <f ca="1" t="shared" si="17"/>
        <v>1</v>
      </c>
      <c r="M215" s="67">
        <v>44470</v>
      </c>
      <c r="N215" s="72"/>
      <c r="O215" s="72"/>
      <c r="P215" s="72"/>
      <c r="Q215" s="72"/>
    </row>
    <row r="216" spans="1:17" ht="12.75">
      <c r="A216" s="68">
        <f t="shared" si="18"/>
        <v>10</v>
      </c>
      <c r="B216" s="69">
        <f t="shared" si="19"/>
        <v>2021</v>
      </c>
      <c r="C216" s="45">
        <v>44470</v>
      </c>
      <c r="D216" s="331"/>
      <c r="E216" s="46" t="e">
        <f t="shared" si="20"/>
        <v>#DIV/0!</v>
      </c>
      <c r="F216" s="46">
        <f t="shared" si="21"/>
        <v>-1</v>
      </c>
      <c r="G216" s="70" t="str">
        <f t="shared" si="16"/>
        <v> </v>
      </c>
      <c r="H216" s="71"/>
      <c r="I216" s="73"/>
      <c r="K216" s="66">
        <v>0.004</v>
      </c>
      <c r="L216" s="56">
        <f ca="1" t="shared" si="17"/>
        <v>1</v>
      </c>
      <c r="M216" s="67">
        <v>44501</v>
      </c>
      <c r="N216" s="72"/>
      <c r="O216" s="72"/>
      <c r="P216" s="72"/>
      <c r="Q216" s="72"/>
    </row>
    <row r="217" spans="1:17" ht="12.75">
      <c r="A217" s="62">
        <f t="shared" si="18"/>
        <v>11</v>
      </c>
      <c r="B217" s="63">
        <f t="shared" si="19"/>
        <v>2021</v>
      </c>
      <c r="C217" s="52">
        <v>44501</v>
      </c>
      <c r="D217" s="330"/>
      <c r="E217" s="53" t="e">
        <f t="shared" si="20"/>
        <v>#DIV/0!</v>
      </c>
      <c r="F217" s="53">
        <f t="shared" si="21"/>
        <v>-1</v>
      </c>
      <c r="G217" s="70" t="str">
        <f t="shared" si="16"/>
        <v> </v>
      </c>
      <c r="H217" s="71"/>
      <c r="I217" s="73"/>
      <c r="K217" s="66">
        <v>0.0043</v>
      </c>
      <c r="L217" s="56">
        <f ca="1" t="shared" si="17"/>
        <v>1</v>
      </c>
      <c r="M217" s="67">
        <v>44531</v>
      </c>
      <c r="N217" s="72"/>
      <c r="O217" s="72"/>
      <c r="P217" s="72"/>
      <c r="Q217" s="72"/>
    </row>
    <row r="218" spans="1:17" ht="12.75">
      <c r="A218" s="68">
        <f t="shared" si="18"/>
        <v>12</v>
      </c>
      <c r="B218" s="69">
        <f t="shared" si="19"/>
        <v>2021</v>
      </c>
      <c r="C218" s="45">
        <v>44531</v>
      </c>
      <c r="D218" s="331"/>
      <c r="E218" s="46" t="e">
        <f t="shared" si="20"/>
        <v>#DIV/0!</v>
      </c>
      <c r="F218" s="46">
        <f t="shared" si="21"/>
        <v>-1</v>
      </c>
      <c r="G218" s="70" t="str">
        <f t="shared" si="16"/>
        <v> </v>
      </c>
      <c r="H218" s="71"/>
      <c r="I218" s="73"/>
      <c r="K218" s="66">
        <v>0.0047</v>
      </c>
      <c r="L218" s="56">
        <f ca="1" t="shared" si="17"/>
        <v>1</v>
      </c>
      <c r="M218" s="67">
        <v>44562</v>
      </c>
      <c r="N218" s="72"/>
      <c r="O218" s="72"/>
      <c r="P218" s="72"/>
      <c r="Q218" s="72"/>
    </row>
    <row r="219" spans="1:17" ht="12.75">
      <c r="A219" s="62">
        <f t="shared" si="18"/>
        <v>1</v>
      </c>
      <c r="B219" s="63">
        <f t="shared" si="19"/>
        <v>2022</v>
      </c>
      <c r="C219" s="52">
        <v>44562</v>
      </c>
      <c r="D219" s="330"/>
      <c r="E219" s="53" t="e">
        <f t="shared" si="20"/>
        <v>#DIV/0!</v>
      </c>
      <c r="F219" s="53">
        <f t="shared" si="21"/>
        <v>-1</v>
      </c>
      <c r="G219" s="70" t="str">
        <f t="shared" si="16"/>
        <v> </v>
      </c>
      <c r="H219" s="71"/>
      <c r="I219" s="73"/>
      <c r="K219" s="66">
        <v>0.005</v>
      </c>
      <c r="L219" s="56">
        <f ca="1" t="shared" si="17"/>
        <v>1</v>
      </c>
      <c r="M219" s="67">
        <v>44593</v>
      </c>
      <c r="N219" s="72"/>
      <c r="O219" s="72"/>
      <c r="P219" s="72"/>
      <c r="Q219" s="72"/>
    </row>
    <row r="220" spans="1:17" ht="12.75">
      <c r="A220" s="68">
        <f t="shared" si="18"/>
        <v>2</v>
      </c>
      <c r="B220" s="69">
        <f t="shared" si="19"/>
        <v>2022</v>
      </c>
      <c r="C220" s="45">
        <v>44593</v>
      </c>
      <c r="D220" s="331"/>
      <c r="E220" s="46" t="e">
        <f t="shared" si="20"/>
        <v>#DIV/0!</v>
      </c>
      <c r="F220" s="46">
        <f t="shared" si="21"/>
        <v>-1</v>
      </c>
      <c r="G220" s="70" t="str">
        <f t="shared" si="16"/>
        <v> </v>
      </c>
      <c r="H220" s="71"/>
      <c r="I220" s="73"/>
      <c r="K220" s="66">
        <v>0.004</v>
      </c>
      <c r="L220" s="56">
        <f ca="1" t="shared" si="17"/>
        <v>1</v>
      </c>
      <c r="M220" s="67">
        <v>44621</v>
      </c>
      <c r="N220" s="72"/>
      <c r="O220" s="72"/>
      <c r="P220" s="72"/>
      <c r="Q220" s="72"/>
    </row>
    <row r="221" spans="1:17" ht="12.75">
      <c r="A221" s="62">
        <f t="shared" si="18"/>
        <v>3</v>
      </c>
      <c r="B221" s="63">
        <f t="shared" si="19"/>
        <v>2022</v>
      </c>
      <c r="C221" s="52">
        <v>44621</v>
      </c>
      <c r="D221" s="330"/>
      <c r="E221" s="53" t="e">
        <f t="shared" si="20"/>
        <v>#DIV/0!</v>
      </c>
      <c r="F221" s="53">
        <f t="shared" si="21"/>
        <v>-1</v>
      </c>
      <c r="G221" s="70" t="str">
        <f t="shared" si="16"/>
        <v> </v>
      </c>
      <c r="H221" s="71"/>
      <c r="I221" s="73"/>
      <c r="K221" s="66">
        <v>0.0036</v>
      </c>
      <c r="L221" s="56">
        <f ca="1" t="shared" si="17"/>
        <v>1</v>
      </c>
      <c r="M221" s="67">
        <v>44652</v>
      </c>
      <c r="N221" s="72"/>
      <c r="O221" s="72"/>
      <c r="P221" s="72"/>
      <c r="Q221" s="72"/>
    </row>
    <row r="222" spans="1:17" ht="12.75">
      <c r="A222" s="68">
        <f t="shared" si="18"/>
        <v>4</v>
      </c>
      <c r="B222" s="69">
        <f t="shared" si="19"/>
        <v>2022</v>
      </c>
      <c r="C222" s="45">
        <v>44652</v>
      </c>
      <c r="D222" s="331"/>
      <c r="E222" s="46" t="e">
        <f t="shared" si="20"/>
        <v>#DIV/0!</v>
      </c>
      <c r="F222" s="46">
        <f t="shared" si="21"/>
        <v>-1</v>
      </c>
      <c r="G222" s="70" t="str">
        <f t="shared" si="16"/>
        <v> </v>
      </c>
      <c r="H222" s="71"/>
      <c r="I222" s="73"/>
      <c r="K222" s="66">
        <v>0.0032</v>
      </c>
      <c r="L222" s="56">
        <f ca="1" t="shared" si="17"/>
        <v>1</v>
      </c>
      <c r="M222" s="67">
        <v>44682</v>
      </c>
      <c r="N222" s="72"/>
      <c r="O222" s="72"/>
      <c r="P222" s="72"/>
      <c r="Q222" s="72"/>
    </row>
    <row r="223" spans="1:17" ht="12.75">
      <c r="A223" s="62">
        <f t="shared" si="18"/>
        <v>5</v>
      </c>
      <c r="B223" s="63">
        <f t="shared" si="19"/>
        <v>2022</v>
      </c>
      <c r="C223" s="52">
        <v>44682</v>
      </c>
      <c r="D223" s="330"/>
      <c r="E223" s="53" t="e">
        <f t="shared" si="20"/>
        <v>#DIV/0!</v>
      </c>
      <c r="F223" s="53">
        <f t="shared" si="21"/>
        <v>-1</v>
      </c>
      <c r="G223" s="70" t="str">
        <f t="shared" si="16"/>
        <v> </v>
      </c>
      <c r="H223" s="71"/>
      <c r="I223" s="73"/>
      <c r="K223" s="66">
        <v>0.0031</v>
      </c>
      <c r="L223" s="56">
        <f ca="1" t="shared" si="17"/>
        <v>1</v>
      </c>
      <c r="M223" s="67">
        <v>44713</v>
      </c>
      <c r="N223" s="72"/>
      <c r="O223" s="72"/>
      <c r="P223" s="72"/>
      <c r="Q223" s="72"/>
    </row>
    <row r="224" spans="1:17" ht="12.75">
      <c r="A224" s="68">
        <f t="shared" si="18"/>
        <v>6</v>
      </c>
      <c r="B224" s="69">
        <f t="shared" si="19"/>
        <v>2022</v>
      </c>
      <c r="C224" s="45">
        <v>44713</v>
      </c>
      <c r="D224" s="331"/>
      <c r="E224" s="46" t="e">
        <f t="shared" si="20"/>
        <v>#DIV/0!</v>
      </c>
      <c r="F224" s="46">
        <f t="shared" si="21"/>
        <v>-1</v>
      </c>
      <c r="G224" s="70" t="str">
        <f t="shared" si="16"/>
        <v> </v>
      </c>
      <c r="H224" s="71"/>
      <c r="I224" s="73"/>
      <c r="K224" s="66">
        <v>0.003</v>
      </c>
      <c r="L224" s="56">
        <f ca="1" t="shared" si="17"/>
        <v>1</v>
      </c>
      <c r="M224" s="67">
        <v>44743</v>
      </c>
      <c r="N224" s="72"/>
      <c r="O224" s="72"/>
      <c r="P224" s="72"/>
      <c r="Q224" s="72"/>
    </row>
    <row r="225" spans="1:17" ht="12.75">
      <c r="A225" s="62">
        <f t="shared" si="18"/>
        <v>7</v>
      </c>
      <c r="B225" s="63">
        <f t="shared" si="19"/>
        <v>2022</v>
      </c>
      <c r="C225" s="52">
        <v>44743</v>
      </c>
      <c r="D225" s="330"/>
      <c r="E225" s="53" t="e">
        <f t="shared" si="20"/>
        <v>#DIV/0!</v>
      </c>
      <c r="F225" s="53">
        <f t="shared" si="21"/>
        <v>-1</v>
      </c>
      <c r="G225" s="70" t="str">
        <f t="shared" si="16"/>
        <v> </v>
      </c>
      <c r="H225" s="71"/>
      <c r="I225" s="73"/>
      <c r="K225" s="66">
        <v>0.0031</v>
      </c>
      <c r="L225" s="56">
        <f ca="1" t="shared" si="17"/>
        <v>1</v>
      </c>
      <c r="M225" s="67">
        <v>44774</v>
      </c>
      <c r="N225" s="72"/>
      <c r="O225" s="72"/>
      <c r="P225" s="72"/>
      <c r="Q225" s="72"/>
    </row>
    <row r="226" spans="1:17" ht="12.75">
      <c r="A226" s="68">
        <f t="shared" si="18"/>
        <v>8</v>
      </c>
      <c r="B226" s="69">
        <f t="shared" si="19"/>
        <v>2022</v>
      </c>
      <c r="C226" s="45">
        <v>44774</v>
      </c>
      <c r="D226" s="331"/>
      <c r="E226" s="46" t="e">
        <f t="shared" si="20"/>
        <v>#DIV/0!</v>
      </c>
      <c r="F226" s="46">
        <f t="shared" si="21"/>
        <v>-1</v>
      </c>
      <c r="G226" s="70" t="str">
        <f t="shared" si="16"/>
        <v> </v>
      </c>
      <c r="H226" s="71"/>
      <c r="I226" s="73"/>
      <c r="K226" s="66">
        <v>0.0032</v>
      </c>
      <c r="L226" s="56">
        <f ca="1" t="shared" si="17"/>
        <v>1</v>
      </c>
      <c r="M226" s="67">
        <v>44805</v>
      </c>
      <c r="N226" s="72"/>
      <c r="O226" s="72"/>
      <c r="P226" s="72"/>
      <c r="Q226" s="72"/>
    </row>
    <row r="227" spans="1:17" ht="12.75">
      <c r="A227" s="62">
        <f t="shared" si="18"/>
        <v>9</v>
      </c>
      <c r="B227" s="63">
        <f t="shared" si="19"/>
        <v>2022</v>
      </c>
      <c r="C227" s="52">
        <v>44805</v>
      </c>
      <c r="D227" s="330"/>
      <c r="E227" s="53" t="e">
        <f t="shared" si="20"/>
        <v>#DIV/0!</v>
      </c>
      <c r="F227" s="53">
        <f t="shared" si="21"/>
        <v>-1</v>
      </c>
      <c r="G227" s="70" t="str">
        <f t="shared" si="16"/>
        <v> </v>
      </c>
      <c r="H227" s="71"/>
      <c r="I227" s="73"/>
      <c r="K227" s="66">
        <v>0.0036</v>
      </c>
      <c r="L227" s="56">
        <f ca="1" t="shared" si="17"/>
        <v>1</v>
      </c>
      <c r="M227" s="67">
        <v>44835</v>
      </c>
      <c r="N227" s="72"/>
      <c r="O227" s="72"/>
      <c r="P227" s="72"/>
      <c r="Q227" s="72"/>
    </row>
    <row r="228" spans="1:17" ht="12.75">
      <c r="A228" s="68">
        <f t="shared" si="18"/>
        <v>10</v>
      </c>
      <c r="B228" s="69">
        <f t="shared" si="19"/>
        <v>2022</v>
      </c>
      <c r="C228" s="45">
        <v>44835</v>
      </c>
      <c r="D228" s="331"/>
      <c r="E228" s="46" t="e">
        <f t="shared" si="20"/>
        <v>#DIV/0!</v>
      </c>
      <c r="F228" s="46">
        <f t="shared" si="21"/>
        <v>-1</v>
      </c>
      <c r="G228" s="70" t="str">
        <f t="shared" si="16"/>
        <v> </v>
      </c>
      <c r="H228" s="71"/>
      <c r="I228" s="73"/>
      <c r="K228" s="66">
        <v>0.004</v>
      </c>
      <c r="L228" s="56">
        <f ca="1" t="shared" si="17"/>
        <v>1</v>
      </c>
      <c r="M228" s="67">
        <v>44866</v>
      </c>
      <c r="N228" s="72"/>
      <c r="O228" s="72"/>
      <c r="P228" s="72"/>
      <c r="Q228" s="72"/>
    </row>
    <row r="229" spans="1:17" ht="12.75">
      <c r="A229" s="62">
        <f t="shared" si="18"/>
        <v>11</v>
      </c>
      <c r="B229" s="63">
        <f t="shared" si="19"/>
        <v>2022</v>
      </c>
      <c r="C229" s="52">
        <v>44866</v>
      </c>
      <c r="D229" s="330"/>
      <c r="E229" s="53" t="e">
        <f t="shared" si="20"/>
        <v>#DIV/0!</v>
      </c>
      <c r="F229" s="53">
        <f t="shared" si="21"/>
        <v>-1</v>
      </c>
      <c r="G229" s="70" t="str">
        <f t="shared" si="16"/>
        <v> </v>
      </c>
      <c r="H229" s="71"/>
      <c r="I229" s="73"/>
      <c r="K229" s="66">
        <v>0.0043</v>
      </c>
      <c r="L229" s="56">
        <f ca="1" t="shared" si="17"/>
        <v>1</v>
      </c>
      <c r="M229" s="67">
        <v>44896</v>
      </c>
      <c r="N229" s="72"/>
      <c r="O229" s="72"/>
      <c r="P229" s="72"/>
      <c r="Q229" s="72"/>
    </row>
    <row r="230" spans="1:17" ht="12.75">
      <c r="A230" s="68">
        <f t="shared" si="18"/>
        <v>12</v>
      </c>
      <c r="B230" s="69">
        <f t="shared" si="19"/>
        <v>2022</v>
      </c>
      <c r="C230" s="45">
        <v>44896</v>
      </c>
      <c r="D230" s="331"/>
      <c r="E230" s="46" t="e">
        <f t="shared" si="20"/>
        <v>#DIV/0!</v>
      </c>
      <c r="F230" s="46">
        <f t="shared" si="21"/>
        <v>-1</v>
      </c>
      <c r="G230" s="70" t="str">
        <f t="shared" si="16"/>
        <v> </v>
      </c>
      <c r="H230" s="71"/>
      <c r="I230" s="73"/>
      <c r="K230" s="66">
        <v>0.0047</v>
      </c>
      <c r="L230" s="56">
        <f ca="1" t="shared" si="17"/>
        <v>1</v>
      </c>
      <c r="M230" s="67">
        <v>44927</v>
      </c>
      <c r="N230" s="72"/>
      <c r="O230" s="72"/>
      <c r="P230" s="72"/>
      <c r="Q230" s="72"/>
    </row>
    <row r="231" spans="1:17" ht="12.75">
      <c r="A231" s="62">
        <f t="shared" si="18"/>
        <v>1</v>
      </c>
      <c r="B231" s="63">
        <f t="shared" si="19"/>
        <v>2023</v>
      </c>
      <c r="C231" s="52">
        <v>44927</v>
      </c>
      <c r="D231" s="330"/>
      <c r="E231" s="53" t="e">
        <f t="shared" si="20"/>
        <v>#DIV/0!</v>
      </c>
      <c r="F231" s="53">
        <f t="shared" si="21"/>
        <v>-1</v>
      </c>
      <c r="G231" s="70" t="str">
        <f t="shared" si="16"/>
        <v> </v>
      </c>
      <c r="H231" s="71"/>
      <c r="I231" s="73"/>
      <c r="K231" s="66">
        <v>0.005</v>
      </c>
      <c r="L231" s="56">
        <f ca="1" t="shared" si="17"/>
        <v>1</v>
      </c>
      <c r="M231" s="67">
        <v>44958</v>
      </c>
      <c r="N231" s="72"/>
      <c r="O231" s="72"/>
      <c r="P231" s="72"/>
      <c r="Q231" s="72"/>
    </row>
    <row r="232" spans="1:17" ht="12.75">
      <c r="A232" s="68">
        <f t="shared" si="18"/>
        <v>2</v>
      </c>
      <c r="B232" s="69">
        <f t="shared" si="19"/>
        <v>2023</v>
      </c>
      <c r="C232" s="45">
        <v>44958</v>
      </c>
      <c r="D232" s="331"/>
      <c r="E232" s="46" t="e">
        <f t="shared" si="20"/>
        <v>#DIV/0!</v>
      </c>
      <c r="F232" s="46">
        <f t="shared" si="21"/>
        <v>-1</v>
      </c>
      <c r="G232" s="70" t="str">
        <f aca="true" t="shared" si="22" ref="G232:G295">IF(AND(L232=0,D232=0),"&lt;-- Preencha o valor do IGP-M na coluna D"," ")</f>
        <v> </v>
      </c>
      <c r="H232" s="71"/>
      <c r="I232" s="73"/>
      <c r="K232" s="66">
        <v>0.004</v>
      </c>
      <c r="L232" s="56">
        <f aca="true" ca="1" t="shared" si="23" ref="L232:L295">IF(TODAY()&gt;M232,0,1)</f>
        <v>1</v>
      </c>
      <c r="M232" s="67">
        <v>44986</v>
      </c>
      <c r="N232" s="72"/>
      <c r="O232" s="72"/>
      <c r="P232" s="72"/>
      <c r="Q232" s="72"/>
    </row>
    <row r="233" spans="1:17" ht="12.75">
      <c r="A233" s="62">
        <f t="shared" si="18"/>
        <v>3</v>
      </c>
      <c r="B233" s="63">
        <f t="shared" si="19"/>
        <v>2023</v>
      </c>
      <c r="C233" s="52">
        <v>44986</v>
      </c>
      <c r="D233" s="330"/>
      <c r="E233" s="53" t="e">
        <f t="shared" si="20"/>
        <v>#DIV/0!</v>
      </c>
      <c r="F233" s="53">
        <f t="shared" si="21"/>
        <v>-1</v>
      </c>
      <c r="G233" s="70" t="str">
        <f t="shared" si="22"/>
        <v> </v>
      </c>
      <c r="H233" s="71"/>
      <c r="I233" s="73"/>
      <c r="K233" s="66">
        <v>0.0036</v>
      </c>
      <c r="L233" s="56">
        <f ca="1" t="shared" si="23"/>
        <v>1</v>
      </c>
      <c r="M233" s="67">
        <v>45017</v>
      </c>
      <c r="N233" s="72"/>
      <c r="O233" s="72"/>
      <c r="P233" s="72"/>
      <c r="Q233" s="72"/>
    </row>
    <row r="234" spans="1:17" ht="12.75">
      <c r="A234" s="68">
        <f t="shared" si="18"/>
        <v>4</v>
      </c>
      <c r="B234" s="69">
        <f t="shared" si="19"/>
        <v>2023</v>
      </c>
      <c r="C234" s="45">
        <v>45017</v>
      </c>
      <c r="D234" s="331"/>
      <c r="E234" s="46" t="e">
        <f t="shared" si="20"/>
        <v>#DIV/0!</v>
      </c>
      <c r="F234" s="46">
        <f t="shared" si="21"/>
        <v>-1</v>
      </c>
      <c r="G234" s="70" t="str">
        <f t="shared" si="22"/>
        <v> </v>
      </c>
      <c r="H234" s="71"/>
      <c r="I234" s="73"/>
      <c r="K234" s="66">
        <v>0.0032</v>
      </c>
      <c r="L234" s="56">
        <f ca="1" t="shared" si="23"/>
        <v>1</v>
      </c>
      <c r="M234" s="67">
        <v>45047</v>
      </c>
      <c r="N234" s="72"/>
      <c r="O234" s="72"/>
      <c r="P234" s="72"/>
      <c r="Q234" s="72"/>
    </row>
    <row r="235" spans="1:17" ht="12.75">
      <c r="A235" s="62">
        <f t="shared" si="18"/>
        <v>5</v>
      </c>
      <c r="B235" s="63">
        <f t="shared" si="19"/>
        <v>2023</v>
      </c>
      <c r="C235" s="52">
        <v>45047</v>
      </c>
      <c r="D235" s="330"/>
      <c r="E235" s="53" t="e">
        <f t="shared" si="20"/>
        <v>#DIV/0!</v>
      </c>
      <c r="F235" s="53">
        <f t="shared" si="21"/>
        <v>-1</v>
      </c>
      <c r="G235" s="70" t="str">
        <f t="shared" si="22"/>
        <v> </v>
      </c>
      <c r="H235" s="71"/>
      <c r="I235" s="73"/>
      <c r="K235" s="66">
        <v>0.0031</v>
      </c>
      <c r="L235" s="56">
        <f ca="1" t="shared" si="23"/>
        <v>1</v>
      </c>
      <c r="M235" s="67">
        <v>45078</v>
      </c>
      <c r="N235" s="72"/>
      <c r="O235" s="72"/>
      <c r="P235" s="72"/>
      <c r="Q235" s="72"/>
    </row>
    <row r="236" spans="1:17" ht="12.75">
      <c r="A236" s="68">
        <f t="shared" si="18"/>
        <v>6</v>
      </c>
      <c r="B236" s="69">
        <f t="shared" si="19"/>
        <v>2023</v>
      </c>
      <c r="C236" s="45">
        <v>45078</v>
      </c>
      <c r="D236" s="331"/>
      <c r="E236" s="46" t="e">
        <f t="shared" si="20"/>
        <v>#DIV/0!</v>
      </c>
      <c r="F236" s="46">
        <f t="shared" si="21"/>
        <v>-1</v>
      </c>
      <c r="G236" s="70" t="str">
        <f t="shared" si="22"/>
        <v> </v>
      </c>
      <c r="H236" s="71"/>
      <c r="I236" s="73"/>
      <c r="K236" s="66">
        <v>0.003</v>
      </c>
      <c r="L236" s="56">
        <f ca="1" t="shared" si="23"/>
        <v>1</v>
      </c>
      <c r="M236" s="67">
        <v>45108</v>
      </c>
      <c r="N236" s="72"/>
      <c r="O236" s="72"/>
      <c r="P236" s="72"/>
      <c r="Q236" s="72"/>
    </row>
    <row r="237" spans="1:17" ht="12.75">
      <c r="A237" s="62">
        <f t="shared" si="18"/>
        <v>7</v>
      </c>
      <c r="B237" s="63">
        <f t="shared" si="19"/>
        <v>2023</v>
      </c>
      <c r="C237" s="52">
        <v>45108</v>
      </c>
      <c r="D237" s="330"/>
      <c r="E237" s="53" t="e">
        <f t="shared" si="20"/>
        <v>#DIV/0!</v>
      </c>
      <c r="F237" s="53">
        <f t="shared" si="21"/>
        <v>-1</v>
      </c>
      <c r="G237" s="70" t="str">
        <f t="shared" si="22"/>
        <v> </v>
      </c>
      <c r="H237" s="71"/>
      <c r="I237" s="73"/>
      <c r="K237" s="66">
        <v>0.0031</v>
      </c>
      <c r="L237" s="56">
        <f ca="1" t="shared" si="23"/>
        <v>1</v>
      </c>
      <c r="M237" s="67">
        <v>45139</v>
      </c>
      <c r="N237" s="72"/>
      <c r="O237" s="72"/>
      <c r="P237" s="72"/>
      <c r="Q237" s="72"/>
    </row>
    <row r="238" spans="1:17" ht="12.75">
      <c r="A238" s="68">
        <f t="shared" si="18"/>
        <v>8</v>
      </c>
      <c r="B238" s="69">
        <f t="shared" si="19"/>
        <v>2023</v>
      </c>
      <c r="C238" s="45">
        <v>45139</v>
      </c>
      <c r="D238" s="331"/>
      <c r="E238" s="46" t="e">
        <f t="shared" si="20"/>
        <v>#DIV/0!</v>
      </c>
      <c r="F238" s="46">
        <f t="shared" si="21"/>
        <v>-1</v>
      </c>
      <c r="G238" s="70" t="str">
        <f t="shared" si="22"/>
        <v> </v>
      </c>
      <c r="H238" s="71"/>
      <c r="I238" s="73"/>
      <c r="K238" s="66">
        <v>0.0032</v>
      </c>
      <c r="L238" s="56">
        <f ca="1" t="shared" si="23"/>
        <v>1</v>
      </c>
      <c r="M238" s="67">
        <v>45170</v>
      </c>
      <c r="N238" s="72"/>
      <c r="O238" s="72"/>
      <c r="P238" s="72"/>
      <c r="Q238" s="72"/>
    </row>
    <row r="239" spans="1:17" ht="12.75">
      <c r="A239" s="62">
        <f t="shared" si="18"/>
        <v>9</v>
      </c>
      <c r="B239" s="63">
        <f t="shared" si="19"/>
        <v>2023</v>
      </c>
      <c r="C239" s="52">
        <v>45170</v>
      </c>
      <c r="D239" s="330"/>
      <c r="E239" s="53" t="e">
        <f t="shared" si="20"/>
        <v>#DIV/0!</v>
      </c>
      <c r="F239" s="53">
        <f t="shared" si="21"/>
        <v>-1</v>
      </c>
      <c r="G239" s="70" t="str">
        <f t="shared" si="22"/>
        <v> </v>
      </c>
      <c r="H239" s="71"/>
      <c r="I239" s="73"/>
      <c r="K239" s="66">
        <v>0.0036</v>
      </c>
      <c r="L239" s="56">
        <f ca="1" t="shared" si="23"/>
        <v>1</v>
      </c>
      <c r="M239" s="67">
        <v>45200</v>
      </c>
      <c r="N239" s="72"/>
      <c r="O239" s="72"/>
      <c r="P239" s="72"/>
      <c r="Q239" s="72"/>
    </row>
    <row r="240" spans="1:17" ht="12.75">
      <c r="A240" s="68">
        <f t="shared" si="18"/>
        <v>10</v>
      </c>
      <c r="B240" s="69">
        <f t="shared" si="19"/>
        <v>2023</v>
      </c>
      <c r="C240" s="45">
        <v>45200</v>
      </c>
      <c r="D240" s="331"/>
      <c r="E240" s="46" t="e">
        <f t="shared" si="20"/>
        <v>#DIV/0!</v>
      </c>
      <c r="F240" s="46">
        <f t="shared" si="21"/>
        <v>-1</v>
      </c>
      <c r="G240" s="70" t="str">
        <f t="shared" si="22"/>
        <v> </v>
      </c>
      <c r="H240" s="71"/>
      <c r="I240" s="73"/>
      <c r="K240" s="66">
        <v>0.004</v>
      </c>
      <c r="L240" s="56">
        <f ca="1" t="shared" si="23"/>
        <v>1</v>
      </c>
      <c r="M240" s="67">
        <v>45231</v>
      </c>
      <c r="N240" s="72"/>
      <c r="O240" s="72"/>
      <c r="P240" s="72"/>
      <c r="Q240" s="72"/>
    </row>
    <row r="241" spans="1:17" ht="12.75">
      <c r="A241" s="62">
        <f t="shared" si="18"/>
        <v>11</v>
      </c>
      <c r="B241" s="63">
        <f t="shared" si="19"/>
        <v>2023</v>
      </c>
      <c r="C241" s="52">
        <v>45231</v>
      </c>
      <c r="D241" s="330"/>
      <c r="E241" s="53" t="e">
        <f t="shared" si="20"/>
        <v>#DIV/0!</v>
      </c>
      <c r="F241" s="53">
        <f t="shared" si="21"/>
        <v>-1</v>
      </c>
      <c r="G241" s="70" t="str">
        <f t="shared" si="22"/>
        <v> </v>
      </c>
      <c r="H241" s="71"/>
      <c r="I241" s="73"/>
      <c r="K241" s="66">
        <v>0.0043</v>
      </c>
      <c r="L241" s="56">
        <f ca="1" t="shared" si="23"/>
        <v>1</v>
      </c>
      <c r="M241" s="67">
        <v>45261</v>
      </c>
      <c r="N241" s="72"/>
      <c r="O241" s="72"/>
      <c r="P241" s="72"/>
      <c r="Q241" s="72"/>
    </row>
    <row r="242" spans="1:17" ht="12.75">
      <c r="A242" s="68">
        <f t="shared" si="18"/>
        <v>12</v>
      </c>
      <c r="B242" s="69">
        <f t="shared" si="19"/>
        <v>2023</v>
      </c>
      <c r="C242" s="45">
        <v>45261</v>
      </c>
      <c r="D242" s="331"/>
      <c r="E242" s="46" t="e">
        <f t="shared" si="20"/>
        <v>#DIV/0!</v>
      </c>
      <c r="F242" s="46">
        <f t="shared" si="21"/>
        <v>-1</v>
      </c>
      <c r="G242" s="70" t="str">
        <f t="shared" si="22"/>
        <v> </v>
      </c>
      <c r="H242" s="71"/>
      <c r="I242" s="73"/>
      <c r="K242" s="66">
        <v>0.0047</v>
      </c>
      <c r="L242" s="56">
        <f ca="1" t="shared" si="23"/>
        <v>1</v>
      </c>
      <c r="M242" s="67">
        <v>45292</v>
      </c>
      <c r="N242" s="72"/>
      <c r="O242" s="72"/>
      <c r="P242" s="72"/>
      <c r="Q242" s="72"/>
    </row>
    <row r="243" spans="1:17" ht="12.75">
      <c r="A243" s="62">
        <f t="shared" si="18"/>
        <v>1</v>
      </c>
      <c r="B243" s="63">
        <f t="shared" si="19"/>
        <v>2024</v>
      </c>
      <c r="C243" s="52">
        <v>45292</v>
      </c>
      <c r="D243" s="330"/>
      <c r="E243" s="53" t="e">
        <f t="shared" si="20"/>
        <v>#DIV/0!</v>
      </c>
      <c r="F243" s="53">
        <f t="shared" si="21"/>
        <v>-1</v>
      </c>
      <c r="G243" s="70" t="str">
        <f t="shared" si="22"/>
        <v> </v>
      </c>
      <c r="H243" s="71"/>
      <c r="I243" s="73"/>
      <c r="K243" s="66">
        <v>0.005</v>
      </c>
      <c r="L243" s="56">
        <f ca="1" t="shared" si="23"/>
        <v>1</v>
      </c>
      <c r="M243" s="67">
        <v>45323</v>
      </c>
      <c r="N243" s="72"/>
      <c r="O243" s="72"/>
      <c r="P243" s="72"/>
      <c r="Q243" s="72"/>
    </row>
    <row r="244" spans="1:17" ht="12.75">
      <c r="A244" s="68">
        <f t="shared" si="18"/>
        <v>2</v>
      </c>
      <c r="B244" s="69">
        <f t="shared" si="19"/>
        <v>2024</v>
      </c>
      <c r="C244" s="45">
        <v>45323</v>
      </c>
      <c r="D244" s="331"/>
      <c r="E244" s="46" t="e">
        <f t="shared" si="20"/>
        <v>#DIV/0!</v>
      </c>
      <c r="F244" s="46">
        <f t="shared" si="21"/>
        <v>-1</v>
      </c>
      <c r="G244" s="70" t="str">
        <f t="shared" si="22"/>
        <v> </v>
      </c>
      <c r="H244" s="71"/>
      <c r="I244" s="73"/>
      <c r="K244" s="66">
        <v>0.004</v>
      </c>
      <c r="L244" s="56">
        <f ca="1" t="shared" si="23"/>
        <v>1</v>
      </c>
      <c r="M244" s="67">
        <v>45352</v>
      </c>
      <c r="N244" s="72"/>
      <c r="O244" s="72"/>
      <c r="P244" s="72"/>
      <c r="Q244" s="72"/>
    </row>
    <row r="245" spans="1:17" ht="12.75">
      <c r="A245" s="62">
        <f t="shared" si="18"/>
        <v>3</v>
      </c>
      <c r="B245" s="63">
        <f t="shared" si="19"/>
        <v>2024</v>
      </c>
      <c r="C245" s="52">
        <v>45352</v>
      </c>
      <c r="D245" s="330"/>
      <c r="E245" s="53" t="e">
        <f t="shared" si="20"/>
        <v>#DIV/0!</v>
      </c>
      <c r="F245" s="53">
        <f t="shared" si="21"/>
        <v>-1</v>
      </c>
      <c r="G245" s="70" t="str">
        <f t="shared" si="22"/>
        <v> </v>
      </c>
      <c r="H245" s="71"/>
      <c r="I245" s="73"/>
      <c r="K245" s="66">
        <v>0.0036</v>
      </c>
      <c r="L245" s="56">
        <f ca="1" t="shared" si="23"/>
        <v>1</v>
      </c>
      <c r="M245" s="67">
        <v>45383</v>
      </c>
      <c r="N245" s="72"/>
      <c r="O245" s="72"/>
      <c r="P245" s="72"/>
      <c r="Q245" s="72"/>
    </row>
    <row r="246" spans="1:17" ht="12.75">
      <c r="A246" s="68">
        <f t="shared" si="18"/>
        <v>4</v>
      </c>
      <c r="B246" s="69">
        <f t="shared" si="19"/>
        <v>2024</v>
      </c>
      <c r="C246" s="45">
        <v>45383</v>
      </c>
      <c r="D246" s="331"/>
      <c r="E246" s="46" t="e">
        <f t="shared" si="20"/>
        <v>#DIV/0!</v>
      </c>
      <c r="F246" s="46">
        <f t="shared" si="21"/>
        <v>-1</v>
      </c>
      <c r="G246" s="70" t="str">
        <f t="shared" si="22"/>
        <v> </v>
      </c>
      <c r="H246" s="71"/>
      <c r="I246" s="73"/>
      <c r="K246" s="66">
        <v>0.0032</v>
      </c>
      <c r="L246" s="56">
        <f ca="1" t="shared" si="23"/>
        <v>1</v>
      </c>
      <c r="M246" s="67">
        <v>45413</v>
      </c>
      <c r="N246" s="72"/>
      <c r="O246" s="72"/>
      <c r="P246" s="72"/>
      <c r="Q246" s="72"/>
    </row>
    <row r="247" spans="1:17" ht="12.75">
      <c r="A247" s="62">
        <f t="shared" si="18"/>
        <v>5</v>
      </c>
      <c r="B247" s="63">
        <f t="shared" si="19"/>
        <v>2024</v>
      </c>
      <c r="C247" s="52">
        <v>45413</v>
      </c>
      <c r="D247" s="330"/>
      <c r="E247" s="53" t="e">
        <f t="shared" si="20"/>
        <v>#DIV/0!</v>
      </c>
      <c r="F247" s="53">
        <f t="shared" si="21"/>
        <v>-1</v>
      </c>
      <c r="G247" s="70" t="str">
        <f t="shared" si="22"/>
        <v> </v>
      </c>
      <c r="H247" s="71"/>
      <c r="I247" s="73"/>
      <c r="K247" s="66">
        <v>0.0031</v>
      </c>
      <c r="L247" s="56">
        <f ca="1" t="shared" si="23"/>
        <v>1</v>
      </c>
      <c r="M247" s="67">
        <v>45444</v>
      </c>
      <c r="N247" s="72"/>
      <c r="O247" s="72"/>
      <c r="P247" s="72"/>
      <c r="Q247" s="72"/>
    </row>
    <row r="248" spans="1:17" ht="12.75">
      <c r="A248" s="68">
        <f t="shared" si="18"/>
        <v>6</v>
      </c>
      <c r="B248" s="69">
        <f t="shared" si="19"/>
        <v>2024</v>
      </c>
      <c r="C248" s="45">
        <v>45444</v>
      </c>
      <c r="D248" s="331"/>
      <c r="E248" s="46" t="e">
        <f t="shared" si="20"/>
        <v>#DIV/0!</v>
      </c>
      <c r="F248" s="46">
        <f t="shared" si="21"/>
        <v>-1</v>
      </c>
      <c r="G248" s="70" t="str">
        <f t="shared" si="22"/>
        <v> </v>
      </c>
      <c r="H248" s="71"/>
      <c r="I248" s="73"/>
      <c r="K248" s="66">
        <v>0.003</v>
      </c>
      <c r="L248" s="56">
        <f ca="1" t="shared" si="23"/>
        <v>1</v>
      </c>
      <c r="M248" s="67">
        <v>45474</v>
      </c>
      <c r="N248" s="72"/>
      <c r="O248" s="72"/>
      <c r="P248" s="72"/>
      <c r="Q248" s="72"/>
    </row>
    <row r="249" spans="1:17" ht="12.75">
      <c r="A249" s="62">
        <f t="shared" si="18"/>
        <v>7</v>
      </c>
      <c r="B249" s="63">
        <f t="shared" si="19"/>
        <v>2024</v>
      </c>
      <c r="C249" s="52">
        <v>45474</v>
      </c>
      <c r="D249" s="330"/>
      <c r="E249" s="53" t="e">
        <f t="shared" si="20"/>
        <v>#DIV/0!</v>
      </c>
      <c r="F249" s="53">
        <f t="shared" si="21"/>
        <v>-1</v>
      </c>
      <c r="G249" s="70" t="str">
        <f t="shared" si="22"/>
        <v> </v>
      </c>
      <c r="H249" s="71"/>
      <c r="I249" s="73"/>
      <c r="K249" s="66">
        <v>0.0031</v>
      </c>
      <c r="L249" s="56">
        <f ca="1" t="shared" si="23"/>
        <v>1</v>
      </c>
      <c r="M249" s="67">
        <v>45505</v>
      </c>
      <c r="N249" s="72"/>
      <c r="O249" s="72"/>
      <c r="P249" s="72"/>
      <c r="Q249" s="72"/>
    </row>
    <row r="250" spans="1:17" ht="12.75">
      <c r="A250" s="68">
        <f t="shared" si="18"/>
        <v>8</v>
      </c>
      <c r="B250" s="69">
        <f t="shared" si="19"/>
        <v>2024</v>
      </c>
      <c r="C250" s="45">
        <v>45505</v>
      </c>
      <c r="D250" s="331"/>
      <c r="E250" s="46" t="e">
        <f t="shared" si="20"/>
        <v>#DIV/0!</v>
      </c>
      <c r="F250" s="46">
        <f t="shared" si="21"/>
        <v>-1</v>
      </c>
      <c r="G250" s="70" t="str">
        <f t="shared" si="22"/>
        <v> </v>
      </c>
      <c r="H250" s="71"/>
      <c r="I250" s="73"/>
      <c r="K250" s="66">
        <v>0.0032</v>
      </c>
      <c r="L250" s="56">
        <f ca="1" t="shared" si="23"/>
        <v>1</v>
      </c>
      <c r="M250" s="67">
        <v>45536</v>
      </c>
      <c r="N250" s="72"/>
      <c r="O250" s="72"/>
      <c r="P250" s="72"/>
      <c r="Q250" s="72"/>
    </row>
    <row r="251" spans="1:17" ht="12.75">
      <c r="A251" s="62">
        <f t="shared" si="18"/>
        <v>9</v>
      </c>
      <c r="B251" s="63">
        <f t="shared" si="19"/>
        <v>2024</v>
      </c>
      <c r="C251" s="52">
        <v>45536</v>
      </c>
      <c r="D251" s="330"/>
      <c r="E251" s="53" t="e">
        <f t="shared" si="20"/>
        <v>#DIV/0!</v>
      </c>
      <c r="F251" s="53">
        <f t="shared" si="21"/>
        <v>-1</v>
      </c>
      <c r="G251" s="70" t="str">
        <f t="shared" si="22"/>
        <v> </v>
      </c>
      <c r="H251" s="71"/>
      <c r="I251" s="73"/>
      <c r="K251" s="66">
        <v>0.0036</v>
      </c>
      <c r="L251" s="56">
        <f ca="1" t="shared" si="23"/>
        <v>1</v>
      </c>
      <c r="M251" s="67">
        <v>45566</v>
      </c>
      <c r="N251" s="72"/>
      <c r="O251" s="72"/>
      <c r="P251" s="72"/>
      <c r="Q251" s="72"/>
    </row>
    <row r="252" spans="1:17" ht="12.75">
      <c r="A252" s="68">
        <f t="shared" si="18"/>
        <v>10</v>
      </c>
      <c r="B252" s="69">
        <f t="shared" si="19"/>
        <v>2024</v>
      </c>
      <c r="C252" s="45">
        <v>45566</v>
      </c>
      <c r="D252" s="331"/>
      <c r="E252" s="46" t="e">
        <f t="shared" si="20"/>
        <v>#DIV/0!</v>
      </c>
      <c r="F252" s="46">
        <f t="shared" si="21"/>
        <v>-1</v>
      </c>
      <c r="G252" s="70" t="str">
        <f t="shared" si="22"/>
        <v> </v>
      </c>
      <c r="H252" s="71"/>
      <c r="I252" s="73"/>
      <c r="K252" s="66">
        <v>0.004</v>
      </c>
      <c r="L252" s="56">
        <f ca="1" t="shared" si="23"/>
        <v>1</v>
      </c>
      <c r="M252" s="67">
        <v>45597</v>
      </c>
      <c r="N252" s="72"/>
      <c r="O252" s="72"/>
      <c r="P252" s="72"/>
      <c r="Q252" s="72"/>
    </row>
    <row r="253" spans="1:17" ht="12.75">
      <c r="A253" s="62">
        <f t="shared" si="18"/>
        <v>11</v>
      </c>
      <c r="B253" s="63">
        <f t="shared" si="19"/>
        <v>2024</v>
      </c>
      <c r="C253" s="52">
        <v>45597</v>
      </c>
      <c r="D253" s="330"/>
      <c r="E253" s="53" t="e">
        <f t="shared" si="20"/>
        <v>#DIV/0!</v>
      </c>
      <c r="F253" s="53">
        <f t="shared" si="21"/>
        <v>-1</v>
      </c>
      <c r="G253" s="70" t="str">
        <f t="shared" si="22"/>
        <v> </v>
      </c>
      <c r="H253" s="71"/>
      <c r="I253" s="73"/>
      <c r="K253" s="66">
        <v>0.0043</v>
      </c>
      <c r="L253" s="56">
        <f ca="1" t="shared" si="23"/>
        <v>1</v>
      </c>
      <c r="M253" s="67">
        <v>45627</v>
      </c>
      <c r="N253" s="72"/>
      <c r="O253" s="72"/>
      <c r="P253" s="72"/>
      <c r="Q253" s="72"/>
    </row>
    <row r="254" spans="1:17" ht="12.75">
      <c r="A254" s="68">
        <f t="shared" si="18"/>
        <v>12</v>
      </c>
      <c r="B254" s="69">
        <f t="shared" si="19"/>
        <v>2024</v>
      </c>
      <c r="C254" s="45">
        <v>45627</v>
      </c>
      <c r="D254" s="331"/>
      <c r="E254" s="46" t="e">
        <f t="shared" si="20"/>
        <v>#DIV/0!</v>
      </c>
      <c r="F254" s="46">
        <f t="shared" si="21"/>
        <v>-1</v>
      </c>
      <c r="G254" s="70" t="str">
        <f t="shared" si="22"/>
        <v> </v>
      </c>
      <c r="H254" s="71"/>
      <c r="I254" s="73"/>
      <c r="K254" s="66">
        <v>0.0047</v>
      </c>
      <c r="L254" s="56">
        <f ca="1" t="shared" si="23"/>
        <v>1</v>
      </c>
      <c r="M254" s="67">
        <v>45658</v>
      </c>
      <c r="N254" s="72"/>
      <c r="O254" s="72"/>
      <c r="P254" s="72"/>
      <c r="Q254" s="72"/>
    </row>
    <row r="255" spans="1:17" ht="12.75">
      <c r="A255" s="62">
        <f t="shared" si="18"/>
        <v>1</v>
      </c>
      <c r="B255" s="63">
        <f t="shared" si="19"/>
        <v>2025</v>
      </c>
      <c r="C255" s="52">
        <v>45658</v>
      </c>
      <c r="D255" s="330"/>
      <c r="E255" s="53" t="e">
        <f t="shared" si="20"/>
        <v>#DIV/0!</v>
      </c>
      <c r="F255" s="53">
        <f t="shared" si="21"/>
        <v>-1</v>
      </c>
      <c r="G255" s="70" t="str">
        <f t="shared" si="22"/>
        <v> </v>
      </c>
      <c r="H255" s="71"/>
      <c r="I255" s="73"/>
      <c r="K255" s="66">
        <v>0.005</v>
      </c>
      <c r="L255" s="56">
        <f ca="1" t="shared" si="23"/>
        <v>1</v>
      </c>
      <c r="M255" s="67">
        <v>45689</v>
      </c>
      <c r="N255" s="72"/>
      <c r="O255" s="72"/>
      <c r="P255" s="72"/>
      <c r="Q255" s="72"/>
    </row>
    <row r="256" spans="1:17" ht="12.75">
      <c r="A256" s="68">
        <f t="shared" si="18"/>
        <v>2</v>
      </c>
      <c r="B256" s="69">
        <f t="shared" si="19"/>
        <v>2025</v>
      </c>
      <c r="C256" s="45">
        <v>45689</v>
      </c>
      <c r="D256" s="331"/>
      <c r="E256" s="46" t="e">
        <f t="shared" si="20"/>
        <v>#DIV/0!</v>
      </c>
      <c r="F256" s="46">
        <f t="shared" si="21"/>
        <v>-1</v>
      </c>
      <c r="G256" s="70" t="str">
        <f t="shared" si="22"/>
        <v> </v>
      </c>
      <c r="H256" s="71"/>
      <c r="I256" s="73"/>
      <c r="K256" s="66">
        <v>0.004</v>
      </c>
      <c r="L256" s="56">
        <f ca="1" t="shared" si="23"/>
        <v>1</v>
      </c>
      <c r="M256" s="67">
        <v>45717</v>
      </c>
      <c r="N256" s="72"/>
      <c r="O256" s="72"/>
      <c r="P256" s="72"/>
      <c r="Q256" s="72"/>
    </row>
    <row r="257" spans="1:17" ht="12.75">
      <c r="A257" s="62">
        <f t="shared" si="18"/>
        <v>3</v>
      </c>
      <c r="B257" s="63">
        <f t="shared" si="19"/>
        <v>2025</v>
      </c>
      <c r="C257" s="52">
        <v>45717</v>
      </c>
      <c r="D257" s="330"/>
      <c r="E257" s="53" t="e">
        <f t="shared" si="20"/>
        <v>#DIV/0!</v>
      </c>
      <c r="F257" s="53">
        <f t="shared" si="21"/>
        <v>-1</v>
      </c>
      <c r="G257" s="70" t="str">
        <f t="shared" si="22"/>
        <v> </v>
      </c>
      <c r="H257" s="71"/>
      <c r="I257" s="73"/>
      <c r="K257" s="66">
        <v>0.0036</v>
      </c>
      <c r="L257" s="56">
        <f ca="1" t="shared" si="23"/>
        <v>1</v>
      </c>
      <c r="M257" s="67">
        <v>45748</v>
      </c>
      <c r="N257" s="72"/>
      <c r="O257" s="72"/>
      <c r="P257" s="72"/>
      <c r="Q257" s="72"/>
    </row>
    <row r="258" spans="1:17" ht="12.75">
      <c r="A258" s="68">
        <f t="shared" si="18"/>
        <v>4</v>
      </c>
      <c r="B258" s="69">
        <f t="shared" si="19"/>
        <v>2025</v>
      </c>
      <c r="C258" s="45">
        <v>45748</v>
      </c>
      <c r="D258" s="331"/>
      <c r="E258" s="46" t="e">
        <f t="shared" si="20"/>
        <v>#DIV/0!</v>
      </c>
      <c r="F258" s="46">
        <f t="shared" si="21"/>
        <v>-1</v>
      </c>
      <c r="G258" s="70" t="str">
        <f t="shared" si="22"/>
        <v> </v>
      </c>
      <c r="H258" s="71"/>
      <c r="I258" s="73"/>
      <c r="K258" s="66">
        <v>0.0032</v>
      </c>
      <c r="L258" s="56">
        <f ca="1" t="shared" si="23"/>
        <v>1</v>
      </c>
      <c r="M258" s="67">
        <v>45778</v>
      </c>
      <c r="N258" s="72"/>
      <c r="O258" s="72"/>
      <c r="P258" s="72"/>
      <c r="Q258" s="72"/>
    </row>
    <row r="259" spans="1:17" ht="12.75">
      <c r="A259" s="62">
        <f t="shared" si="18"/>
        <v>5</v>
      </c>
      <c r="B259" s="63">
        <f t="shared" si="19"/>
        <v>2025</v>
      </c>
      <c r="C259" s="52">
        <v>45778</v>
      </c>
      <c r="D259" s="330"/>
      <c r="E259" s="53" t="e">
        <f t="shared" si="20"/>
        <v>#DIV/0!</v>
      </c>
      <c r="F259" s="53">
        <f t="shared" si="21"/>
        <v>-1</v>
      </c>
      <c r="G259" s="70" t="str">
        <f t="shared" si="22"/>
        <v> </v>
      </c>
      <c r="H259" s="71"/>
      <c r="I259" s="73"/>
      <c r="K259" s="66">
        <v>0.0031</v>
      </c>
      <c r="L259" s="56">
        <f ca="1" t="shared" si="23"/>
        <v>1</v>
      </c>
      <c r="M259" s="67">
        <v>45809</v>
      </c>
      <c r="N259" s="72"/>
      <c r="O259" s="72"/>
      <c r="P259" s="72"/>
      <c r="Q259" s="72"/>
    </row>
    <row r="260" spans="1:17" ht="12.75">
      <c r="A260" s="68">
        <f aca="true" t="shared" si="24" ref="A260:A302">MONTH(C260)</f>
        <v>6</v>
      </c>
      <c r="B260" s="69">
        <f aca="true" t="shared" si="25" ref="B260:B302">YEAR(C260)</f>
        <v>2025</v>
      </c>
      <c r="C260" s="45">
        <v>45809</v>
      </c>
      <c r="D260" s="331"/>
      <c r="E260" s="46" t="e">
        <f t="shared" si="20"/>
        <v>#DIV/0!</v>
      </c>
      <c r="F260" s="46">
        <f t="shared" si="21"/>
        <v>-1</v>
      </c>
      <c r="G260" s="70" t="str">
        <f t="shared" si="22"/>
        <v> </v>
      </c>
      <c r="H260" s="71"/>
      <c r="I260" s="73"/>
      <c r="K260" s="66">
        <v>0.003</v>
      </c>
      <c r="L260" s="56">
        <f ca="1" t="shared" si="23"/>
        <v>1</v>
      </c>
      <c r="M260" s="67">
        <v>45839</v>
      </c>
      <c r="N260" s="72"/>
      <c r="O260" s="72"/>
      <c r="P260" s="72"/>
      <c r="Q260" s="72"/>
    </row>
    <row r="261" spans="1:17" ht="12.75">
      <c r="A261" s="62">
        <f t="shared" si="24"/>
        <v>7</v>
      </c>
      <c r="B261" s="63">
        <f t="shared" si="25"/>
        <v>2025</v>
      </c>
      <c r="C261" s="52">
        <v>45839</v>
      </c>
      <c r="D261" s="330"/>
      <c r="E261" s="53" t="e">
        <f aca="true" t="shared" si="26" ref="E261:E302">(D261/D260)-1</f>
        <v>#DIV/0!</v>
      </c>
      <c r="F261" s="53">
        <f aca="true" t="shared" si="27" ref="F261:F302">(D261/$D$4)-1</f>
        <v>-1</v>
      </c>
      <c r="G261" s="70" t="str">
        <f t="shared" si="22"/>
        <v> </v>
      </c>
      <c r="H261" s="71"/>
      <c r="I261" s="73"/>
      <c r="K261" s="66">
        <v>0.0031</v>
      </c>
      <c r="L261" s="56">
        <f ca="1" t="shared" si="23"/>
        <v>1</v>
      </c>
      <c r="M261" s="67">
        <v>45870</v>
      </c>
      <c r="N261" s="72"/>
      <c r="O261" s="72"/>
      <c r="P261" s="72"/>
      <c r="Q261" s="72"/>
    </row>
    <row r="262" spans="1:17" ht="12.75">
      <c r="A262" s="68">
        <f t="shared" si="24"/>
        <v>8</v>
      </c>
      <c r="B262" s="69">
        <f t="shared" si="25"/>
        <v>2025</v>
      </c>
      <c r="C262" s="45">
        <v>45870</v>
      </c>
      <c r="D262" s="331"/>
      <c r="E262" s="46" t="e">
        <f t="shared" si="26"/>
        <v>#DIV/0!</v>
      </c>
      <c r="F262" s="46">
        <f t="shared" si="27"/>
        <v>-1</v>
      </c>
      <c r="G262" s="70" t="str">
        <f t="shared" si="22"/>
        <v> </v>
      </c>
      <c r="H262" s="71"/>
      <c r="I262" s="73"/>
      <c r="K262" s="66">
        <v>0.0032</v>
      </c>
      <c r="L262" s="56">
        <f ca="1" t="shared" si="23"/>
        <v>1</v>
      </c>
      <c r="M262" s="67">
        <v>45901</v>
      </c>
      <c r="N262" s="72"/>
      <c r="O262" s="72"/>
      <c r="P262" s="72"/>
      <c r="Q262" s="72"/>
    </row>
    <row r="263" spans="1:17" ht="12.75">
      <c r="A263" s="62">
        <f t="shared" si="24"/>
        <v>9</v>
      </c>
      <c r="B263" s="63">
        <f t="shared" si="25"/>
        <v>2025</v>
      </c>
      <c r="C263" s="52">
        <v>45901</v>
      </c>
      <c r="D263" s="330"/>
      <c r="E263" s="53" t="e">
        <f t="shared" si="26"/>
        <v>#DIV/0!</v>
      </c>
      <c r="F263" s="53">
        <f t="shared" si="27"/>
        <v>-1</v>
      </c>
      <c r="G263" s="70" t="str">
        <f t="shared" si="22"/>
        <v> </v>
      </c>
      <c r="H263" s="71"/>
      <c r="I263" s="73"/>
      <c r="K263" s="66">
        <v>0.0036</v>
      </c>
      <c r="L263" s="56">
        <f ca="1" t="shared" si="23"/>
        <v>1</v>
      </c>
      <c r="M263" s="67">
        <v>45931</v>
      </c>
      <c r="N263" s="72"/>
      <c r="O263" s="72"/>
      <c r="P263" s="72"/>
      <c r="Q263" s="72"/>
    </row>
    <row r="264" spans="1:17" ht="12.75">
      <c r="A264" s="68">
        <f t="shared" si="24"/>
        <v>10</v>
      </c>
      <c r="B264" s="69">
        <f t="shared" si="25"/>
        <v>2025</v>
      </c>
      <c r="C264" s="45">
        <v>45931</v>
      </c>
      <c r="D264" s="331"/>
      <c r="E264" s="46" t="e">
        <f t="shared" si="26"/>
        <v>#DIV/0!</v>
      </c>
      <c r="F264" s="46">
        <f t="shared" si="27"/>
        <v>-1</v>
      </c>
      <c r="G264" s="70" t="str">
        <f t="shared" si="22"/>
        <v> </v>
      </c>
      <c r="H264" s="71"/>
      <c r="I264" s="73"/>
      <c r="K264" s="66">
        <v>0.004</v>
      </c>
      <c r="L264" s="56">
        <f ca="1" t="shared" si="23"/>
        <v>1</v>
      </c>
      <c r="M264" s="67">
        <v>45962</v>
      </c>
      <c r="N264" s="72"/>
      <c r="O264" s="72"/>
      <c r="P264" s="72"/>
      <c r="Q264" s="72"/>
    </row>
    <row r="265" spans="1:17" ht="12.75">
      <c r="A265" s="62">
        <f t="shared" si="24"/>
        <v>11</v>
      </c>
      <c r="B265" s="63">
        <f t="shared" si="25"/>
        <v>2025</v>
      </c>
      <c r="C265" s="52">
        <v>45962</v>
      </c>
      <c r="D265" s="330"/>
      <c r="E265" s="53" t="e">
        <f t="shared" si="26"/>
        <v>#DIV/0!</v>
      </c>
      <c r="F265" s="53">
        <f t="shared" si="27"/>
        <v>-1</v>
      </c>
      <c r="G265" s="70" t="str">
        <f t="shared" si="22"/>
        <v> </v>
      </c>
      <c r="H265" s="71"/>
      <c r="I265" s="73"/>
      <c r="K265" s="66">
        <v>0.0043</v>
      </c>
      <c r="L265" s="56">
        <f ca="1" t="shared" si="23"/>
        <v>1</v>
      </c>
      <c r="M265" s="67">
        <v>45992</v>
      </c>
      <c r="N265" s="72"/>
      <c r="O265" s="72"/>
      <c r="P265" s="72"/>
      <c r="Q265" s="72"/>
    </row>
    <row r="266" spans="1:17" ht="12.75">
      <c r="A266" s="68">
        <f t="shared" si="24"/>
        <v>12</v>
      </c>
      <c r="B266" s="69">
        <f t="shared" si="25"/>
        <v>2025</v>
      </c>
      <c r="C266" s="45">
        <v>45992</v>
      </c>
      <c r="D266" s="331"/>
      <c r="E266" s="46" t="e">
        <f t="shared" si="26"/>
        <v>#DIV/0!</v>
      </c>
      <c r="F266" s="46">
        <f t="shared" si="27"/>
        <v>-1</v>
      </c>
      <c r="G266" s="70" t="str">
        <f t="shared" si="22"/>
        <v> </v>
      </c>
      <c r="H266" s="71"/>
      <c r="I266" s="73"/>
      <c r="K266" s="66">
        <v>0.0047</v>
      </c>
      <c r="L266" s="56">
        <f ca="1" t="shared" si="23"/>
        <v>1</v>
      </c>
      <c r="M266" s="67">
        <v>46023</v>
      </c>
      <c r="N266" s="72"/>
      <c r="O266" s="72"/>
      <c r="P266" s="72"/>
      <c r="Q266" s="72"/>
    </row>
    <row r="267" spans="1:17" ht="12.75">
      <c r="A267" s="62">
        <f t="shared" si="24"/>
        <v>1</v>
      </c>
      <c r="B267" s="63">
        <f t="shared" si="25"/>
        <v>2026</v>
      </c>
      <c r="C267" s="52">
        <v>46023</v>
      </c>
      <c r="D267" s="330"/>
      <c r="E267" s="53" t="e">
        <f t="shared" si="26"/>
        <v>#DIV/0!</v>
      </c>
      <c r="F267" s="53">
        <f t="shared" si="27"/>
        <v>-1</v>
      </c>
      <c r="G267" s="70" t="str">
        <f t="shared" si="22"/>
        <v> </v>
      </c>
      <c r="H267" s="71"/>
      <c r="I267" s="73"/>
      <c r="K267" s="66">
        <v>0.005</v>
      </c>
      <c r="L267" s="56">
        <f ca="1" t="shared" si="23"/>
        <v>1</v>
      </c>
      <c r="M267" s="67">
        <v>46054</v>
      </c>
      <c r="N267" s="72"/>
      <c r="O267" s="72"/>
      <c r="P267" s="72"/>
      <c r="Q267" s="72"/>
    </row>
    <row r="268" spans="1:17" ht="12.75">
      <c r="A268" s="68">
        <f t="shared" si="24"/>
        <v>2</v>
      </c>
      <c r="B268" s="69">
        <f t="shared" si="25"/>
        <v>2026</v>
      </c>
      <c r="C268" s="45">
        <v>46054</v>
      </c>
      <c r="D268" s="331"/>
      <c r="E268" s="46" t="e">
        <f t="shared" si="26"/>
        <v>#DIV/0!</v>
      </c>
      <c r="F268" s="46">
        <f t="shared" si="27"/>
        <v>-1</v>
      </c>
      <c r="G268" s="70" t="str">
        <f t="shared" si="22"/>
        <v> </v>
      </c>
      <c r="H268" s="71"/>
      <c r="I268" s="73"/>
      <c r="K268" s="66">
        <v>0.004</v>
      </c>
      <c r="L268" s="56">
        <f ca="1" t="shared" si="23"/>
        <v>1</v>
      </c>
      <c r="M268" s="67">
        <v>46082</v>
      </c>
      <c r="N268" s="72"/>
      <c r="O268" s="72"/>
      <c r="P268" s="72"/>
      <c r="Q268" s="72"/>
    </row>
    <row r="269" spans="1:17" ht="12.75">
      <c r="A269" s="62">
        <f t="shared" si="24"/>
        <v>3</v>
      </c>
      <c r="B269" s="63">
        <f t="shared" si="25"/>
        <v>2026</v>
      </c>
      <c r="C269" s="52">
        <v>46082</v>
      </c>
      <c r="D269" s="330"/>
      <c r="E269" s="53" t="e">
        <f t="shared" si="26"/>
        <v>#DIV/0!</v>
      </c>
      <c r="F269" s="53">
        <f t="shared" si="27"/>
        <v>-1</v>
      </c>
      <c r="G269" s="70" t="str">
        <f t="shared" si="22"/>
        <v> </v>
      </c>
      <c r="H269" s="71"/>
      <c r="I269" s="73"/>
      <c r="K269" s="66">
        <v>0.0036</v>
      </c>
      <c r="L269" s="56">
        <f ca="1" t="shared" si="23"/>
        <v>1</v>
      </c>
      <c r="M269" s="67">
        <v>46113</v>
      </c>
      <c r="N269" s="72"/>
      <c r="O269" s="72"/>
      <c r="P269" s="72"/>
      <c r="Q269" s="72"/>
    </row>
    <row r="270" spans="1:17" ht="12.75">
      <c r="A270" s="68">
        <f t="shared" si="24"/>
        <v>4</v>
      </c>
      <c r="B270" s="69">
        <f t="shared" si="25"/>
        <v>2026</v>
      </c>
      <c r="C270" s="45">
        <v>46113</v>
      </c>
      <c r="D270" s="331"/>
      <c r="E270" s="46" t="e">
        <f t="shared" si="26"/>
        <v>#DIV/0!</v>
      </c>
      <c r="F270" s="46">
        <f t="shared" si="27"/>
        <v>-1</v>
      </c>
      <c r="G270" s="70" t="str">
        <f t="shared" si="22"/>
        <v> </v>
      </c>
      <c r="H270" s="71"/>
      <c r="I270" s="73"/>
      <c r="K270" s="66">
        <v>0.0032</v>
      </c>
      <c r="L270" s="56">
        <f ca="1" t="shared" si="23"/>
        <v>1</v>
      </c>
      <c r="M270" s="67">
        <v>46143</v>
      </c>
      <c r="N270" s="72"/>
      <c r="O270" s="72"/>
      <c r="P270" s="72"/>
      <c r="Q270" s="72"/>
    </row>
    <row r="271" spans="1:17" ht="12.75">
      <c r="A271" s="62">
        <f t="shared" si="24"/>
        <v>5</v>
      </c>
      <c r="B271" s="63">
        <f t="shared" si="25"/>
        <v>2026</v>
      </c>
      <c r="C271" s="52">
        <v>46143</v>
      </c>
      <c r="D271" s="330"/>
      <c r="E271" s="53" t="e">
        <f t="shared" si="26"/>
        <v>#DIV/0!</v>
      </c>
      <c r="F271" s="53">
        <f t="shared" si="27"/>
        <v>-1</v>
      </c>
      <c r="G271" s="70" t="str">
        <f t="shared" si="22"/>
        <v> </v>
      </c>
      <c r="H271" s="71"/>
      <c r="I271" s="73"/>
      <c r="K271" s="66">
        <v>0.0031</v>
      </c>
      <c r="L271" s="56">
        <f ca="1" t="shared" si="23"/>
        <v>1</v>
      </c>
      <c r="M271" s="67">
        <v>46174</v>
      </c>
      <c r="N271" s="72"/>
      <c r="O271" s="72"/>
      <c r="P271" s="72"/>
      <c r="Q271" s="72"/>
    </row>
    <row r="272" spans="1:17" ht="12.75">
      <c r="A272" s="68">
        <f t="shared" si="24"/>
        <v>6</v>
      </c>
      <c r="B272" s="69">
        <f t="shared" si="25"/>
        <v>2026</v>
      </c>
      <c r="C272" s="45">
        <v>46174</v>
      </c>
      <c r="D272" s="331"/>
      <c r="E272" s="46" t="e">
        <f t="shared" si="26"/>
        <v>#DIV/0!</v>
      </c>
      <c r="F272" s="46">
        <f t="shared" si="27"/>
        <v>-1</v>
      </c>
      <c r="G272" s="70" t="str">
        <f t="shared" si="22"/>
        <v> </v>
      </c>
      <c r="H272" s="71"/>
      <c r="I272" s="73"/>
      <c r="K272" s="66">
        <v>0.003</v>
      </c>
      <c r="L272" s="56">
        <f ca="1" t="shared" si="23"/>
        <v>1</v>
      </c>
      <c r="M272" s="67">
        <v>46204</v>
      </c>
      <c r="N272" s="72"/>
      <c r="O272" s="72"/>
      <c r="P272" s="72"/>
      <c r="Q272" s="72"/>
    </row>
    <row r="273" spans="1:17" ht="12.75">
      <c r="A273" s="62">
        <f t="shared" si="24"/>
        <v>7</v>
      </c>
      <c r="B273" s="63">
        <f t="shared" si="25"/>
        <v>2026</v>
      </c>
      <c r="C273" s="52">
        <v>46204</v>
      </c>
      <c r="D273" s="330"/>
      <c r="E273" s="53" t="e">
        <f t="shared" si="26"/>
        <v>#DIV/0!</v>
      </c>
      <c r="F273" s="53">
        <f t="shared" si="27"/>
        <v>-1</v>
      </c>
      <c r="G273" s="70" t="str">
        <f t="shared" si="22"/>
        <v> </v>
      </c>
      <c r="H273" s="71"/>
      <c r="I273" s="73"/>
      <c r="K273" s="66">
        <v>0.0031</v>
      </c>
      <c r="L273" s="56">
        <f ca="1" t="shared" si="23"/>
        <v>1</v>
      </c>
      <c r="M273" s="67">
        <v>46235</v>
      </c>
      <c r="N273" s="72"/>
      <c r="O273" s="72"/>
      <c r="P273" s="72"/>
      <c r="Q273" s="72"/>
    </row>
    <row r="274" spans="1:17" ht="12.75">
      <c r="A274" s="68">
        <f t="shared" si="24"/>
        <v>8</v>
      </c>
      <c r="B274" s="69">
        <f t="shared" si="25"/>
        <v>2026</v>
      </c>
      <c r="C274" s="45">
        <v>46235</v>
      </c>
      <c r="D274" s="331"/>
      <c r="E274" s="46" t="e">
        <f t="shared" si="26"/>
        <v>#DIV/0!</v>
      </c>
      <c r="F274" s="46">
        <f t="shared" si="27"/>
        <v>-1</v>
      </c>
      <c r="G274" s="70" t="str">
        <f t="shared" si="22"/>
        <v> </v>
      </c>
      <c r="H274" s="71"/>
      <c r="I274" s="73"/>
      <c r="K274" s="66">
        <v>0.0032</v>
      </c>
      <c r="L274" s="56">
        <f ca="1" t="shared" si="23"/>
        <v>1</v>
      </c>
      <c r="M274" s="67">
        <v>46266</v>
      </c>
      <c r="N274" s="72"/>
      <c r="O274" s="72"/>
      <c r="P274" s="72"/>
      <c r="Q274" s="72"/>
    </row>
    <row r="275" spans="1:17" ht="12.75">
      <c r="A275" s="62">
        <f t="shared" si="24"/>
        <v>9</v>
      </c>
      <c r="B275" s="63">
        <f t="shared" si="25"/>
        <v>2026</v>
      </c>
      <c r="C275" s="52">
        <v>46266</v>
      </c>
      <c r="D275" s="330"/>
      <c r="E275" s="53" t="e">
        <f t="shared" si="26"/>
        <v>#DIV/0!</v>
      </c>
      <c r="F275" s="53">
        <f t="shared" si="27"/>
        <v>-1</v>
      </c>
      <c r="G275" s="70" t="str">
        <f t="shared" si="22"/>
        <v> </v>
      </c>
      <c r="H275" s="71"/>
      <c r="I275" s="73"/>
      <c r="K275" s="66">
        <v>0.0036</v>
      </c>
      <c r="L275" s="56">
        <f ca="1" t="shared" si="23"/>
        <v>1</v>
      </c>
      <c r="M275" s="67">
        <v>46296</v>
      </c>
      <c r="N275" s="72"/>
      <c r="O275" s="72"/>
      <c r="P275" s="72"/>
      <c r="Q275" s="72"/>
    </row>
    <row r="276" spans="1:17" ht="12.75">
      <c r="A276" s="68">
        <f t="shared" si="24"/>
        <v>10</v>
      </c>
      <c r="B276" s="69">
        <f t="shared" si="25"/>
        <v>2026</v>
      </c>
      <c r="C276" s="45">
        <v>46296</v>
      </c>
      <c r="D276" s="331"/>
      <c r="E276" s="46" t="e">
        <f t="shared" si="26"/>
        <v>#DIV/0!</v>
      </c>
      <c r="F276" s="46">
        <f t="shared" si="27"/>
        <v>-1</v>
      </c>
      <c r="G276" s="70" t="str">
        <f t="shared" si="22"/>
        <v> </v>
      </c>
      <c r="H276" s="71"/>
      <c r="I276" s="73"/>
      <c r="K276" s="66">
        <v>0.004</v>
      </c>
      <c r="L276" s="56">
        <f ca="1" t="shared" si="23"/>
        <v>1</v>
      </c>
      <c r="M276" s="67">
        <v>46327</v>
      </c>
      <c r="N276" s="72"/>
      <c r="O276" s="72"/>
      <c r="P276" s="72"/>
      <c r="Q276" s="72"/>
    </row>
    <row r="277" spans="1:17" ht="12.75">
      <c r="A277" s="62">
        <f t="shared" si="24"/>
        <v>11</v>
      </c>
      <c r="B277" s="63">
        <f t="shared" si="25"/>
        <v>2026</v>
      </c>
      <c r="C277" s="52">
        <v>46327</v>
      </c>
      <c r="D277" s="330"/>
      <c r="E277" s="53" t="e">
        <f t="shared" si="26"/>
        <v>#DIV/0!</v>
      </c>
      <c r="F277" s="53">
        <f t="shared" si="27"/>
        <v>-1</v>
      </c>
      <c r="G277" s="70" t="str">
        <f t="shared" si="22"/>
        <v> </v>
      </c>
      <c r="H277" s="71"/>
      <c r="I277" s="73"/>
      <c r="K277" s="66">
        <v>0.0043</v>
      </c>
      <c r="L277" s="56">
        <f ca="1" t="shared" si="23"/>
        <v>1</v>
      </c>
      <c r="M277" s="67">
        <v>46357</v>
      </c>
      <c r="N277" s="72"/>
      <c r="O277" s="72"/>
      <c r="P277" s="72"/>
      <c r="Q277" s="72"/>
    </row>
    <row r="278" spans="1:17" ht="12.75">
      <c r="A278" s="68">
        <f t="shared" si="24"/>
        <v>12</v>
      </c>
      <c r="B278" s="69">
        <f t="shared" si="25"/>
        <v>2026</v>
      </c>
      <c r="C278" s="45">
        <v>46357</v>
      </c>
      <c r="D278" s="331"/>
      <c r="E278" s="46" t="e">
        <f t="shared" si="26"/>
        <v>#DIV/0!</v>
      </c>
      <c r="F278" s="46">
        <f t="shared" si="27"/>
        <v>-1</v>
      </c>
      <c r="G278" s="70" t="str">
        <f t="shared" si="22"/>
        <v> </v>
      </c>
      <c r="H278" s="71"/>
      <c r="I278" s="73"/>
      <c r="K278" s="66">
        <v>0.0047</v>
      </c>
      <c r="L278" s="56">
        <f ca="1" t="shared" si="23"/>
        <v>1</v>
      </c>
      <c r="M278" s="67">
        <v>46388</v>
      </c>
      <c r="N278" s="72"/>
      <c r="O278" s="72"/>
      <c r="P278" s="72"/>
      <c r="Q278" s="72"/>
    </row>
    <row r="279" spans="1:17" ht="12.75">
      <c r="A279" s="62">
        <f t="shared" si="24"/>
        <v>1</v>
      </c>
      <c r="B279" s="63">
        <f t="shared" si="25"/>
        <v>2027</v>
      </c>
      <c r="C279" s="52">
        <v>46388</v>
      </c>
      <c r="D279" s="330"/>
      <c r="E279" s="53" t="e">
        <f t="shared" si="26"/>
        <v>#DIV/0!</v>
      </c>
      <c r="F279" s="53">
        <f t="shared" si="27"/>
        <v>-1</v>
      </c>
      <c r="G279" s="70" t="str">
        <f t="shared" si="22"/>
        <v> </v>
      </c>
      <c r="H279" s="71"/>
      <c r="I279" s="73"/>
      <c r="K279" s="66">
        <v>0.005</v>
      </c>
      <c r="L279" s="56">
        <f ca="1" t="shared" si="23"/>
        <v>1</v>
      </c>
      <c r="M279" s="67">
        <v>46419</v>
      </c>
      <c r="N279" s="72"/>
      <c r="O279" s="72"/>
      <c r="P279" s="72"/>
      <c r="Q279" s="72"/>
    </row>
    <row r="280" spans="1:17" ht="12.75">
      <c r="A280" s="68">
        <f t="shared" si="24"/>
        <v>2</v>
      </c>
      <c r="B280" s="69">
        <f t="shared" si="25"/>
        <v>2027</v>
      </c>
      <c r="C280" s="45">
        <v>46419</v>
      </c>
      <c r="D280" s="331"/>
      <c r="E280" s="46" t="e">
        <f t="shared" si="26"/>
        <v>#DIV/0!</v>
      </c>
      <c r="F280" s="46">
        <f t="shared" si="27"/>
        <v>-1</v>
      </c>
      <c r="G280" s="70" t="str">
        <f t="shared" si="22"/>
        <v> </v>
      </c>
      <c r="H280" s="71"/>
      <c r="I280" s="73"/>
      <c r="K280" s="66">
        <v>0.004</v>
      </c>
      <c r="L280" s="56">
        <f ca="1" t="shared" si="23"/>
        <v>1</v>
      </c>
      <c r="M280" s="67">
        <v>46447</v>
      </c>
      <c r="N280" s="72"/>
      <c r="O280" s="72"/>
      <c r="P280" s="72"/>
      <c r="Q280" s="72"/>
    </row>
    <row r="281" spans="1:17" ht="12.75">
      <c r="A281" s="62">
        <f t="shared" si="24"/>
        <v>3</v>
      </c>
      <c r="B281" s="63">
        <f t="shared" si="25"/>
        <v>2027</v>
      </c>
      <c r="C281" s="52">
        <v>46447</v>
      </c>
      <c r="D281" s="330"/>
      <c r="E281" s="53" t="e">
        <f t="shared" si="26"/>
        <v>#DIV/0!</v>
      </c>
      <c r="F281" s="53">
        <f t="shared" si="27"/>
        <v>-1</v>
      </c>
      <c r="G281" s="70" t="str">
        <f t="shared" si="22"/>
        <v> </v>
      </c>
      <c r="H281" s="71"/>
      <c r="I281" s="73"/>
      <c r="K281" s="66">
        <v>0.0036</v>
      </c>
      <c r="L281" s="56">
        <f ca="1" t="shared" si="23"/>
        <v>1</v>
      </c>
      <c r="M281" s="67">
        <v>46478</v>
      </c>
      <c r="N281" s="72"/>
      <c r="O281" s="72"/>
      <c r="P281" s="72"/>
      <c r="Q281" s="72"/>
    </row>
    <row r="282" spans="1:17" ht="12.75">
      <c r="A282" s="68">
        <f t="shared" si="24"/>
        <v>4</v>
      </c>
      <c r="B282" s="69">
        <f t="shared" si="25"/>
        <v>2027</v>
      </c>
      <c r="C282" s="45">
        <v>46478</v>
      </c>
      <c r="D282" s="331"/>
      <c r="E282" s="46" t="e">
        <f t="shared" si="26"/>
        <v>#DIV/0!</v>
      </c>
      <c r="F282" s="46">
        <f t="shared" si="27"/>
        <v>-1</v>
      </c>
      <c r="G282" s="70" t="str">
        <f t="shared" si="22"/>
        <v> </v>
      </c>
      <c r="H282" s="71"/>
      <c r="I282" s="73"/>
      <c r="K282" s="66">
        <v>0.0032</v>
      </c>
      <c r="L282" s="56">
        <f ca="1" t="shared" si="23"/>
        <v>1</v>
      </c>
      <c r="M282" s="67">
        <v>46508</v>
      </c>
      <c r="N282" s="72"/>
      <c r="O282" s="72"/>
      <c r="P282" s="72"/>
      <c r="Q282" s="72"/>
    </row>
    <row r="283" spans="1:17" ht="12.75">
      <c r="A283" s="62">
        <f t="shared" si="24"/>
        <v>5</v>
      </c>
      <c r="B283" s="63">
        <f t="shared" si="25"/>
        <v>2027</v>
      </c>
      <c r="C283" s="52">
        <v>46508</v>
      </c>
      <c r="D283" s="330"/>
      <c r="E283" s="53" t="e">
        <f t="shared" si="26"/>
        <v>#DIV/0!</v>
      </c>
      <c r="F283" s="53">
        <f t="shared" si="27"/>
        <v>-1</v>
      </c>
      <c r="G283" s="70" t="str">
        <f t="shared" si="22"/>
        <v> </v>
      </c>
      <c r="H283" s="71"/>
      <c r="I283" s="73"/>
      <c r="K283" s="66">
        <v>0.0031</v>
      </c>
      <c r="L283" s="56">
        <f ca="1" t="shared" si="23"/>
        <v>1</v>
      </c>
      <c r="M283" s="67">
        <v>46539</v>
      </c>
      <c r="N283" s="72"/>
      <c r="O283" s="72"/>
      <c r="P283" s="72"/>
      <c r="Q283" s="72"/>
    </row>
    <row r="284" spans="1:17" ht="12.75">
      <c r="A284" s="68">
        <f t="shared" si="24"/>
        <v>6</v>
      </c>
      <c r="B284" s="69">
        <f t="shared" si="25"/>
        <v>2027</v>
      </c>
      <c r="C284" s="45">
        <v>46539</v>
      </c>
      <c r="D284" s="331"/>
      <c r="E284" s="46" t="e">
        <f t="shared" si="26"/>
        <v>#DIV/0!</v>
      </c>
      <c r="F284" s="46">
        <f t="shared" si="27"/>
        <v>-1</v>
      </c>
      <c r="G284" s="70" t="str">
        <f t="shared" si="22"/>
        <v> </v>
      </c>
      <c r="H284" s="71"/>
      <c r="I284" s="73"/>
      <c r="K284" s="66">
        <v>0.003</v>
      </c>
      <c r="L284" s="56">
        <f ca="1" t="shared" si="23"/>
        <v>1</v>
      </c>
      <c r="M284" s="67">
        <v>46569</v>
      </c>
      <c r="N284" s="72"/>
      <c r="O284" s="72"/>
      <c r="P284" s="72"/>
      <c r="Q284" s="72"/>
    </row>
    <row r="285" spans="1:17" ht="12.75">
      <c r="A285" s="62">
        <f t="shared" si="24"/>
        <v>7</v>
      </c>
      <c r="B285" s="63">
        <f t="shared" si="25"/>
        <v>2027</v>
      </c>
      <c r="C285" s="52">
        <v>46569</v>
      </c>
      <c r="D285" s="330"/>
      <c r="E285" s="53" t="e">
        <f t="shared" si="26"/>
        <v>#DIV/0!</v>
      </c>
      <c r="F285" s="53">
        <f t="shared" si="27"/>
        <v>-1</v>
      </c>
      <c r="G285" s="70" t="str">
        <f t="shared" si="22"/>
        <v> </v>
      </c>
      <c r="H285" s="71"/>
      <c r="I285" s="73"/>
      <c r="K285" s="66">
        <v>0.0031</v>
      </c>
      <c r="L285" s="56">
        <f ca="1" t="shared" si="23"/>
        <v>1</v>
      </c>
      <c r="M285" s="67">
        <v>46600</v>
      </c>
      <c r="N285" s="72"/>
      <c r="O285" s="72"/>
      <c r="P285" s="72"/>
      <c r="Q285" s="72"/>
    </row>
    <row r="286" spans="1:17" ht="12.75">
      <c r="A286" s="68">
        <f t="shared" si="24"/>
        <v>8</v>
      </c>
      <c r="B286" s="69">
        <f t="shared" si="25"/>
        <v>2027</v>
      </c>
      <c r="C286" s="45">
        <v>46600</v>
      </c>
      <c r="D286" s="331"/>
      <c r="E286" s="46" t="e">
        <f t="shared" si="26"/>
        <v>#DIV/0!</v>
      </c>
      <c r="F286" s="46">
        <f t="shared" si="27"/>
        <v>-1</v>
      </c>
      <c r="G286" s="70" t="str">
        <f t="shared" si="22"/>
        <v> </v>
      </c>
      <c r="H286" s="71"/>
      <c r="I286" s="73"/>
      <c r="K286" s="66">
        <v>0.0032</v>
      </c>
      <c r="L286" s="56">
        <f ca="1" t="shared" si="23"/>
        <v>1</v>
      </c>
      <c r="M286" s="67">
        <v>46631</v>
      </c>
      <c r="N286" s="72"/>
      <c r="O286" s="72"/>
      <c r="P286" s="72"/>
      <c r="Q286" s="72"/>
    </row>
    <row r="287" spans="1:17" ht="12.75">
      <c r="A287" s="62">
        <f t="shared" si="24"/>
        <v>9</v>
      </c>
      <c r="B287" s="63">
        <f t="shared" si="25"/>
        <v>2027</v>
      </c>
      <c r="C287" s="52">
        <v>46631</v>
      </c>
      <c r="D287" s="330"/>
      <c r="E287" s="53" t="e">
        <f t="shared" si="26"/>
        <v>#DIV/0!</v>
      </c>
      <c r="F287" s="53">
        <f t="shared" si="27"/>
        <v>-1</v>
      </c>
      <c r="G287" s="70" t="str">
        <f t="shared" si="22"/>
        <v> </v>
      </c>
      <c r="H287" s="71"/>
      <c r="I287" s="73"/>
      <c r="K287" s="66">
        <v>0.0036</v>
      </c>
      <c r="L287" s="56">
        <f ca="1" t="shared" si="23"/>
        <v>1</v>
      </c>
      <c r="M287" s="67">
        <v>46661</v>
      </c>
      <c r="N287" s="72"/>
      <c r="O287" s="72"/>
      <c r="P287" s="72"/>
      <c r="Q287" s="72"/>
    </row>
    <row r="288" spans="1:17" ht="12.75">
      <c r="A288" s="68">
        <f t="shared" si="24"/>
        <v>10</v>
      </c>
      <c r="B288" s="69">
        <f t="shared" si="25"/>
        <v>2027</v>
      </c>
      <c r="C288" s="45">
        <v>46661</v>
      </c>
      <c r="D288" s="331"/>
      <c r="E288" s="46" t="e">
        <f t="shared" si="26"/>
        <v>#DIV/0!</v>
      </c>
      <c r="F288" s="46">
        <f t="shared" si="27"/>
        <v>-1</v>
      </c>
      <c r="G288" s="70" t="str">
        <f t="shared" si="22"/>
        <v> </v>
      </c>
      <c r="H288" s="71"/>
      <c r="I288" s="73"/>
      <c r="K288" s="66">
        <v>0.004</v>
      </c>
      <c r="L288" s="56">
        <f ca="1" t="shared" si="23"/>
        <v>1</v>
      </c>
      <c r="M288" s="67">
        <v>46692</v>
      </c>
      <c r="N288" s="72"/>
      <c r="O288" s="72"/>
      <c r="P288" s="72"/>
      <c r="Q288" s="72"/>
    </row>
    <row r="289" spans="1:17" ht="12.75">
      <c r="A289" s="62">
        <f t="shared" si="24"/>
        <v>11</v>
      </c>
      <c r="B289" s="63">
        <f t="shared" si="25"/>
        <v>2027</v>
      </c>
      <c r="C289" s="52">
        <v>46692</v>
      </c>
      <c r="D289" s="330"/>
      <c r="E289" s="53" t="e">
        <f t="shared" si="26"/>
        <v>#DIV/0!</v>
      </c>
      <c r="F289" s="53">
        <f t="shared" si="27"/>
        <v>-1</v>
      </c>
      <c r="G289" s="70" t="str">
        <f t="shared" si="22"/>
        <v> </v>
      </c>
      <c r="H289" s="71"/>
      <c r="I289" s="73"/>
      <c r="K289" s="66">
        <v>0.0043</v>
      </c>
      <c r="L289" s="56">
        <f ca="1" t="shared" si="23"/>
        <v>1</v>
      </c>
      <c r="M289" s="67">
        <v>46722</v>
      </c>
      <c r="N289" s="72"/>
      <c r="O289" s="72"/>
      <c r="P289" s="72"/>
      <c r="Q289" s="72"/>
    </row>
    <row r="290" spans="1:17" ht="12.75">
      <c r="A290" s="68">
        <f t="shared" si="24"/>
        <v>12</v>
      </c>
      <c r="B290" s="69">
        <f t="shared" si="25"/>
        <v>2027</v>
      </c>
      <c r="C290" s="45">
        <v>46722</v>
      </c>
      <c r="D290" s="331"/>
      <c r="E290" s="46" t="e">
        <f t="shared" si="26"/>
        <v>#DIV/0!</v>
      </c>
      <c r="F290" s="46">
        <f t="shared" si="27"/>
        <v>-1</v>
      </c>
      <c r="G290" s="70" t="str">
        <f t="shared" si="22"/>
        <v> </v>
      </c>
      <c r="H290" s="71"/>
      <c r="I290" s="73"/>
      <c r="K290" s="66">
        <v>0.0047</v>
      </c>
      <c r="L290" s="56">
        <f ca="1" t="shared" si="23"/>
        <v>1</v>
      </c>
      <c r="M290" s="67">
        <v>46753</v>
      </c>
      <c r="N290" s="72"/>
      <c r="O290" s="72"/>
      <c r="P290" s="72"/>
      <c r="Q290" s="72"/>
    </row>
    <row r="291" spans="1:17" ht="12.75">
      <c r="A291" s="62">
        <f t="shared" si="24"/>
        <v>1</v>
      </c>
      <c r="B291" s="63">
        <f t="shared" si="25"/>
        <v>2028</v>
      </c>
      <c r="C291" s="52">
        <v>46753</v>
      </c>
      <c r="D291" s="330"/>
      <c r="E291" s="53" t="e">
        <f t="shared" si="26"/>
        <v>#DIV/0!</v>
      </c>
      <c r="F291" s="53">
        <f t="shared" si="27"/>
        <v>-1</v>
      </c>
      <c r="G291" s="70" t="str">
        <f t="shared" si="22"/>
        <v> </v>
      </c>
      <c r="H291" s="71"/>
      <c r="I291" s="73"/>
      <c r="K291" s="66">
        <v>0.005</v>
      </c>
      <c r="L291" s="56">
        <f ca="1" t="shared" si="23"/>
        <v>1</v>
      </c>
      <c r="M291" s="67">
        <v>46784</v>
      </c>
      <c r="N291" s="72"/>
      <c r="O291" s="72"/>
      <c r="P291" s="72"/>
      <c r="Q291" s="72"/>
    </row>
    <row r="292" spans="1:17" ht="12.75">
      <c r="A292" s="68">
        <f t="shared" si="24"/>
        <v>2</v>
      </c>
      <c r="B292" s="69">
        <f t="shared" si="25"/>
        <v>2028</v>
      </c>
      <c r="C292" s="45">
        <v>46784</v>
      </c>
      <c r="D292" s="331"/>
      <c r="E292" s="46" t="e">
        <f t="shared" si="26"/>
        <v>#DIV/0!</v>
      </c>
      <c r="F292" s="46">
        <f t="shared" si="27"/>
        <v>-1</v>
      </c>
      <c r="G292" s="70" t="str">
        <f t="shared" si="22"/>
        <v> </v>
      </c>
      <c r="H292" s="71"/>
      <c r="I292" s="73"/>
      <c r="K292" s="66">
        <v>0.004</v>
      </c>
      <c r="L292" s="56">
        <f ca="1" t="shared" si="23"/>
        <v>1</v>
      </c>
      <c r="M292" s="67">
        <v>46813</v>
      </c>
      <c r="N292" s="72"/>
      <c r="O292" s="72"/>
      <c r="P292" s="72"/>
      <c r="Q292" s="72"/>
    </row>
    <row r="293" spans="1:17" ht="12.75">
      <c r="A293" s="62">
        <f t="shared" si="24"/>
        <v>3</v>
      </c>
      <c r="B293" s="63">
        <f t="shared" si="25"/>
        <v>2028</v>
      </c>
      <c r="C293" s="52">
        <v>46813</v>
      </c>
      <c r="D293" s="330"/>
      <c r="E293" s="53" t="e">
        <f t="shared" si="26"/>
        <v>#DIV/0!</v>
      </c>
      <c r="F293" s="53">
        <f t="shared" si="27"/>
        <v>-1</v>
      </c>
      <c r="G293" s="70" t="str">
        <f t="shared" si="22"/>
        <v> </v>
      </c>
      <c r="H293" s="71"/>
      <c r="I293" s="73"/>
      <c r="K293" s="66">
        <v>0.0036</v>
      </c>
      <c r="L293" s="56">
        <f ca="1" t="shared" si="23"/>
        <v>1</v>
      </c>
      <c r="M293" s="67">
        <v>46844</v>
      </c>
      <c r="N293" s="72"/>
      <c r="O293" s="72"/>
      <c r="P293" s="72"/>
      <c r="Q293" s="72"/>
    </row>
    <row r="294" spans="1:17" ht="12.75">
      <c r="A294" s="68">
        <f t="shared" si="24"/>
        <v>4</v>
      </c>
      <c r="B294" s="69">
        <f t="shared" si="25"/>
        <v>2028</v>
      </c>
      <c r="C294" s="45">
        <v>46844</v>
      </c>
      <c r="D294" s="331"/>
      <c r="E294" s="46" t="e">
        <f t="shared" si="26"/>
        <v>#DIV/0!</v>
      </c>
      <c r="F294" s="46">
        <f t="shared" si="27"/>
        <v>-1</v>
      </c>
      <c r="G294" s="70" t="str">
        <f t="shared" si="22"/>
        <v> </v>
      </c>
      <c r="H294" s="71"/>
      <c r="I294" s="73"/>
      <c r="K294" s="66">
        <v>0.0032</v>
      </c>
      <c r="L294" s="56">
        <f ca="1" t="shared" si="23"/>
        <v>1</v>
      </c>
      <c r="M294" s="67">
        <v>46874</v>
      </c>
      <c r="N294" s="72"/>
      <c r="O294" s="72"/>
      <c r="P294" s="72"/>
      <c r="Q294" s="72"/>
    </row>
    <row r="295" spans="1:17" ht="12.75">
      <c r="A295" s="62">
        <f t="shared" si="24"/>
        <v>5</v>
      </c>
      <c r="B295" s="63">
        <f t="shared" si="25"/>
        <v>2028</v>
      </c>
      <c r="C295" s="52">
        <v>46874</v>
      </c>
      <c r="D295" s="330"/>
      <c r="E295" s="53" t="e">
        <f t="shared" si="26"/>
        <v>#DIV/0!</v>
      </c>
      <c r="F295" s="53">
        <f t="shared" si="27"/>
        <v>-1</v>
      </c>
      <c r="G295" s="70" t="str">
        <f t="shared" si="22"/>
        <v> </v>
      </c>
      <c r="H295" s="71"/>
      <c r="I295" s="73"/>
      <c r="K295" s="66">
        <v>0.0031</v>
      </c>
      <c r="L295" s="56">
        <f ca="1" t="shared" si="23"/>
        <v>1</v>
      </c>
      <c r="M295" s="67">
        <v>46905</v>
      </c>
      <c r="N295" s="72"/>
      <c r="O295" s="72"/>
      <c r="P295" s="72"/>
      <c r="Q295" s="72"/>
    </row>
    <row r="296" spans="1:17" ht="12.75">
      <c r="A296" s="68">
        <f t="shared" si="24"/>
        <v>6</v>
      </c>
      <c r="B296" s="69">
        <f t="shared" si="25"/>
        <v>2028</v>
      </c>
      <c r="C296" s="45">
        <v>46905</v>
      </c>
      <c r="D296" s="331"/>
      <c r="E296" s="46" t="e">
        <f t="shared" si="26"/>
        <v>#DIV/0!</v>
      </c>
      <c r="F296" s="46">
        <f t="shared" si="27"/>
        <v>-1</v>
      </c>
      <c r="G296" s="70" t="str">
        <f aca="true" t="shared" si="28" ref="G296:G302">IF(AND(L296=0,D296=0),"&lt;-- Preencha o valor do IGP-M na coluna D"," ")</f>
        <v> </v>
      </c>
      <c r="H296" s="71"/>
      <c r="I296" s="73"/>
      <c r="K296" s="66">
        <v>0.003</v>
      </c>
      <c r="L296" s="56">
        <f aca="true" ca="1" t="shared" si="29" ref="L296:L302">IF(TODAY()&gt;M296,0,1)</f>
        <v>1</v>
      </c>
      <c r="M296" s="67">
        <v>46935</v>
      </c>
      <c r="N296" s="72"/>
      <c r="O296" s="72"/>
      <c r="P296" s="72"/>
      <c r="Q296" s="72"/>
    </row>
    <row r="297" spans="1:17" ht="12.75">
      <c r="A297" s="62">
        <f t="shared" si="24"/>
        <v>7</v>
      </c>
      <c r="B297" s="63">
        <f t="shared" si="25"/>
        <v>2028</v>
      </c>
      <c r="C297" s="52">
        <v>46935</v>
      </c>
      <c r="D297" s="330"/>
      <c r="E297" s="53" t="e">
        <f t="shared" si="26"/>
        <v>#DIV/0!</v>
      </c>
      <c r="F297" s="53">
        <f t="shared" si="27"/>
        <v>-1</v>
      </c>
      <c r="G297" s="70" t="str">
        <f t="shared" si="28"/>
        <v> </v>
      </c>
      <c r="H297" s="71"/>
      <c r="I297" s="73"/>
      <c r="K297" s="66">
        <v>0.0031</v>
      </c>
      <c r="L297" s="56">
        <f ca="1" t="shared" si="29"/>
        <v>1</v>
      </c>
      <c r="M297" s="67">
        <v>46966</v>
      </c>
      <c r="N297" s="72"/>
      <c r="O297" s="72"/>
      <c r="P297" s="72"/>
      <c r="Q297" s="72"/>
    </row>
    <row r="298" spans="1:17" ht="12.75">
      <c r="A298" s="68">
        <f t="shared" si="24"/>
        <v>8</v>
      </c>
      <c r="B298" s="69">
        <f t="shared" si="25"/>
        <v>2028</v>
      </c>
      <c r="C298" s="45">
        <v>46966</v>
      </c>
      <c r="D298" s="331"/>
      <c r="E298" s="46" t="e">
        <f t="shared" si="26"/>
        <v>#DIV/0!</v>
      </c>
      <c r="F298" s="46">
        <f t="shared" si="27"/>
        <v>-1</v>
      </c>
      <c r="G298" s="70" t="str">
        <f t="shared" si="28"/>
        <v> </v>
      </c>
      <c r="H298" s="71"/>
      <c r="I298" s="73"/>
      <c r="K298" s="66">
        <v>0.0032</v>
      </c>
      <c r="L298" s="56">
        <f ca="1" t="shared" si="29"/>
        <v>1</v>
      </c>
      <c r="M298" s="67">
        <v>46997</v>
      </c>
      <c r="N298" s="72"/>
      <c r="O298" s="72"/>
      <c r="P298" s="72"/>
      <c r="Q298" s="72"/>
    </row>
    <row r="299" spans="1:17" ht="12.75">
      <c r="A299" s="62">
        <f t="shared" si="24"/>
        <v>9</v>
      </c>
      <c r="B299" s="63">
        <f t="shared" si="25"/>
        <v>2028</v>
      </c>
      <c r="C299" s="52">
        <v>46997</v>
      </c>
      <c r="D299" s="330"/>
      <c r="E299" s="53" t="e">
        <f t="shared" si="26"/>
        <v>#DIV/0!</v>
      </c>
      <c r="F299" s="53">
        <f t="shared" si="27"/>
        <v>-1</v>
      </c>
      <c r="G299" s="70" t="str">
        <f t="shared" si="28"/>
        <v> </v>
      </c>
      <c r="H299" s="71"/>
      <c r="I299" s="73"/>
      <c r="K299" s="66">
        <v>0.0036</v>
      </c>
      <c r="L299" s="56">
        <f ca="1" t="shared" si="29"/>
        <v>1</v>
      </c>
      <c r="M299" s="67">
        <v>47027</v>
      </c>
      <c r="N299" s="72"/>
      <c r="O299" s="72"/>
      <c r="P299" s="72"/>
      <c r="Q299" s="72"/>
    </row>
    <row r="300" spans="1:17" ht="12.75">
      <c r="A300" s="68">
        <f t="shared" si="24"/>
        <v>10</v>
      </c>
      <c r="B300" s="69">
        <f t="shared" si="25"/>
        <v>2028</v>
      </c>
      <c r="C300" s="45">
        <v>47027</v>
      </c>
      <c r="D300" s="331"/>
      <c r="E300" s="46" t="e">
        <f t="shared" si="26"/>
        <v>#DIV/0!</v>
      </c>
      <c r="F300" s="46">
        <f t="shared" si="27"/>
        <v>-1</v>
      </c>
      <c r="G300" s="70" t="str">
        <f t="shared" si="28"/>
        <v> </v>
      </c>
      <c r="H300" s="71"/>
      <c r="I300" s="73"/>
      <c r="K300" s="66">
        <v>0.004</v>
      </c>
      <c r="L300" s="56">
        <f ca="1" t="shared" si="29"/>
        <v>1</v>
      </c>
      <c r="M300" s="67">
        <v>47058</v>
      </c>
      <c r="N300" s="72"/>
      <c r="O300" s="72"/>
      <c r="P300" s="72"/>
      <c r="Q300" s="72"/>
    </row>
    <row r="301" spans="1:17" ht="12.75">
      <c r="A301" s="62">
        <f t="shared" si="24"/>
        <v>11</v>
      </c>
      <c r="B301" s="63">
        <f t="shared" si="25"/>
        <v>2028</v>
      </c>
      <c r="C301" s="52">
        <v>47058</v>
      </c>
      <c r="D301" s="330"/>
      <c r="E301" s="53" t="e">
        <f t="shared" si="26"/>
        <v>#DIV/0!</v>
      </c>
      <c r="F301" s="53">
        <f t="shared" si="27"/>
        <v>-1</v>
      </c>
      <c r="G301" s="70" t="str">
        <f t="shared" si="28"/>
        <v> </v>
      </c>
      <c r="H301" s="71"/>
      <c r="I301" s="73"/>
      <c r="K301" s="66">
        <v>0.0043</v>
      </c>
      <c r="L301" s="56">
        <f ca="1" t="shared" si="29"/>
        <v>1</v>
      </c>
      <c r="M301" s="67">
        <v>47088</v>
      </c>
      <c r="N301" s="72"/>
      <c r="O301" s="72"/>
      <c r="P301" s="72"/>
      <c r="Q301" s="72"/>
    </row>
    <row r="302" spans="1:17" ht="12.75">
      <c r="A302" s="68">
        <f t="shared" si="24"/>
        <v>12</v>
      </c>
      <c r="B302" s="69">
        <f t="shared" si="25"/>
        <v>2028</v>
      </c>
      <c r="C302" s="45">
        <v>47088</v>
      </c>
      <c r="D302" s="331"/>
      <c r="E302" s="46" t="e">
        <f t="shared" si="26"/>
        <v>#DIV/0!</v>
      </c>
      <c r="F302" s="46">
        <f t="shared" si="27"/>
        <v>-1</v>
      </c>
      <c r="G302" s="70" t="str">
        <f t="shared" si="28"/>
        <v> </v>
      </c>
      <c r="H302" s="71"/>
      <c r="I302" s="73"/>
      <c r="K302" s="66">
        <v>0.0047</v>
      </c>
      <c r="L302" s="56">
        <f ca="1" t="shared" si="29"/>
        <v>1</v>
      </c>
      <c r="M302" s="67">
        <v>47119</v>
      </c>
      <c r="N302" s="72"/>
      <c r="O302" s="72"/>
      <c r="P302" s="72"/>
      <c r="Q302" s="72"/>
    </row>
    <row r="303" spans="1:6" ht="12.75">
      <c r="A303" s="74"/>
      <c r="B303" s="74"/>
      <c r="C303" s="75"/>
      <c r="D303" s="74"/>
      <c r="E303" s="75"/>
      <c r="F303" s="75"/>
    </row>
  </sheetData>
  <sheetProtection password="8147" sheet="1" selectLockedCells="1"/>
  <mergeCells count="3">
    <mergeCell ref="A2:F2"/>
    <mergeCell ref="H2:Q2"/>
    <mergeCell ref="H3:Q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92"/>
  <sheetViews>
    <sheetView showGridLines="0" zoomScale="75" zoomScaleNormal="75" zoomScalePageLayoutView="0" workbookViewId="0" topLeftCell="A1">
      <selection activeCell="C51" sqref="C51:E51"/>
    </sheetView>
  </sheetViews>
  <sheetFormatPr defaultColWidth="9.140625" defaultRowHeight="12.75"/>
  <cols>
    <col min="1" max="1" width="9.140625" style="77" customWidth="1"/>
    <col min="2" max="2" width="15.8515625" style="77" customWidth="1"/>
    <col min="3" max="3" width="16.421875" style="77" customWidth="1"/>
    <col min="4" max="4" width="18.00390625" style="77" customWidth="1"/>
    <col min="5" max="5" width="9.00390625" style="83" customWidth="1"/>
    <col min="6" max="6" width="18.421875" style="83" customWidth="1"/>
    <col min="7" max="7" width="21.57421875" style="83" customWidth="1"/>
    <col min="8" max="8" width="22.28125" style="83" bestFit="1" customWidth="1"/>
    <col min="9" max="9" width="10.57421875" style="77" bestFit="1" customWidth="1"/>
    <col min="10" max="16384" width="9.140625" style="77" customWidth="1"/>
  </cols>
  <sheetData>
    <row r="1" spans="1:8" ht="12.75" customHeight="1">
      <c r="A1" s="401" t="s">
        <v>44</v>
      </c>
      <c r="B1" s="401"/>
      <c r="C1" s="401"/>
      <c r="D1" s="401"/>
      <c r="E1" s="401"/>
      <c r="F1" s="401"/>
      <c r="G1" s="401"/>
      <c r="H1" s="401"/>
    </row>
    <row r="2" spans="1:8" ht="12.75" customHeight="1">
      <c r="A2" s="76"/>
      <c r="B2" s="76"/>
      <c r="C2" s="76"/>
      <c r="D2" s="76"/>
      <c r="E2" s="76"/>
      <c r="F2" s="76"/>
      <c r="G2" s="76"/>
      <c r="H2" s="76"/>
    </row>
    <row r="3" spans="1:8" ht="12.75" customHeight="1">
      <c r="A3" s="76"/>
      <c r="B3" s="76"/>
      <c r="C3" s="76"/>
      <c r="D3" s="76"/>
      <c r="E3" s="76"/>
      <c r="F3" s="76"/>
      <c r="G3" s="76"/>
      <c r="H3" s="76"/>
    </row>
    <row r="4" spans="1:8" ht="14.25">
      <c r="A4" s="78"/>
      <c r="B4" s="379" t="s">
        <v>45</v>
      </c>
      <c r="C4" s="380"/>
      <c r="D4" s="380"/>
      <c r="E4" s="380"/>
      <c r="F4" s="380"/>
      <c r="G4" s="380"/>
      <c r="H4" s="380"/>
    </row>
    <row r="5" spans="1:8" ht="14.25">
      <c r="A5" s="78"/>
      <c r="B5" s="381" t="s">
        <v>46</v>
      </c>
      <c r="C5" s="381"/>
      <c r="D5" s="381"/>
      <c r="E5" s="381"/>
      <c r="F5" s="381"/>
      <c r="G5" s="381"/>
      <c r="H5" s="381"/>
    </row>
    <row r="6" spans="1:8" ht="14.25">
      <c r="A6" s="78"/>
      <c r="B6" s="381" t="s">
        <v>47</v>
      </c>
      <c r="C6" s="381"/>
      <c r="D6" s="381"/>
      <c r="E6" s="381"/>
      <c r="F6" s="381"/>
      <c r="G6" s="381"/>
      <c r="H6" s="381"/>
    </row>
    <row r="7" spans="2:8" ht="14.25">
      <c r="B7" s="381" t="s">
        <v>48</v>
      </c>
      <c r="C7" s="381"/>
      <c r="D7" s="381"/>
      <c r="E7" s="381"/>
      <c r="F7" s="381"/>
      <c r="G7" s="381"/>
      <c r="H7" s="381"/>
    </row>
    <row r="8" spans="2:8" ht="14.25">
      <c r="B8" s="381" t="s">
        <v>49</v>
      </c>
      <c r="C8" s="381"/>
      <c r="D8" s="381"/>
      <c r="E8" s="381"/>
      <c r="F8" s="381"/>
      <c r="G8" s="381"/>
      <c r="H8" s="381"/>
    </row>
    <row r="9" spans="2:8" ht="15" thickBot="1">
      <c r="B9" s="390" t="s">
        <v>50</v>
      </c>
      <c r="C9" s="390"/>
      <c r="D9" s="390"/>
      <c r="E9" s="390"/>
      <c r="F9" s="390"/>
      <c r="G9" s="390"/>
      <c r="H9" s="390"/>
    </row>
    <row r="10" spans="2:8" ht="13.5" thickTop="1">
      <c r="B10" s="79"/>
      <c r="C10" s="79"/>
      <c r="D10" s="79"/>
      <c r="E10" s="80"/>
      <c r="F10" s="80"/>
      <c r="G10" s="80"/>
      <c r="H10" s="80"/>
    </row>
    <row r="11" spans="2:8" ht="15.75">
      <c r="B11" s="81" t="s">
        <v>51</v>
      </c>
      <c r="C11" s="387" t="s">
        <v>52</v>
      </c>
      <c r="D11" s="388"/>
      <c r="E11" s="388"/>
      <c r="F11" s="388"/>
      <c r="G11" s="388"/>
      <c r="H11" s="388"/>
    </row>
    <row r="12" ht="12.75">
      <c r="D12" s="82"/>
    </row>
    <row r="13" spans="2:8" ht="12.75">
      <c r="B13" s="77" t="s">
        <v>53</v>
      </c>
      <c r="C13" s="389" t="s">
        <v>54</v>
      </c>
      <c r="D13" s="389"/>
      <c r="E13" s="380"/>
      <c r="F13" s="380"/>
      <c r="G13" s="380"/>
      <c r="H13" s="380"/>
    </row>
    <row r="14" spans="3:8" ht="15.75">
      <c r="C14" s="84"/>
      <c r="D14" s="83"/>
      <c r="E14" s="77"/>
      <c r="F14" s="77"/>
      <c r="G14" s="85"/>
      <c r="H14" s="77"/>
    </row>
    <row r="15" spans="2:8" ht="15.75">
      <c r="B15" s="77" t="s">
        <v>55</v>
      </c>
      <c r="C15" s="86" t="s">
        <v>56</v>
      </c>
      <c r="D15" s="87"/>
      <c r="E15" s="77"/>
      <c r="F15" s="77"/>
      <c r="G15" s="85"/>
      <c r="H15" s="77"/>
    </row>
    <row r="16" spans="4:8" ht="15.75">
      <c r="D16" s="83"/>
      <c r="E16" s="77"/>
      <c r="F16" s="77"/>
      <c r="G16" s="85"/>
      <c r="H16" s="77"/>
    </row>
    <row r="17" spans="3:7" ht="15.75">
      <c r="C17" s="77" t="s">
        <v>57</v>
      </c>
      <c r="D17" s="83"/>
      <c r="E17" s="77"/>
      <c r="F17" s="77"/>
      <c r="G17" s="85"/>
    </row>
    <row r="18" spans="3:7" ht="12.75">
      <c r="C18" s="77" t="s">
        <v>58</v>
      </c>
      <c r="D18" s="83"/>
      <c r="E18" s="77"/>
      <c r="F18" s="77"/>
      <c r="G18" s="77"/>
    </row>
    <row r="19" spans="3:7" ht="12.75">
      <c r="C19" s="77" t="s">
        <v>59</v>
      </c>
      <c r="D19" s="83"/>
      <c r="E19" s="77"/>
      <c r="F19" s="77"/>
      <c r="G19" s="77"/>
    </row>
    <row r="20" spans="3:7" ht="12.75">
      <c r="C20" s="77" t="s">
        <v>60</v>
      </c>
      <c r="D20" s="88"/>
      <c r="E20" s="77"/>
      <c r="F20" s="77"/>
      <c r="G20" s="77"/>
    </row>
    <row r="21" spans="4:7" ht="12.75">
      <c r="D21" s="83"/>
      <c r="E21" s="77"/>
      <c r="F21" s="77"/>
      <c r="G21" s="77"/>
    </row>
    <row r="22" spans="2:9" ht="12.75">
      <c r="B22" s="77" t="s">
        <v>61</v>
      </c>
      <c r="C22" s="377" t="s">
        <v>100</v>
      </c>
      <c r="D22" s="377"/>
      <c r="E22" s="377"/>
      <c r="F22" s="89" t="s">
        <v>62</v>
      </c>
      <c r="G22" s="90" t="str">
        <f>IF(Eólica!C5=0," ",CONCATENATE("/",YEAR(Eólica!C5)))</f>
        <v> </v>
      </c>
      <c r="I22" s="91"/>
    </row>
    <row r="23" spans="4:9" ht="12.75">
      <c r="D23" s="83"/>
      <c r="E23" s="77"/>
      <c r="F23" s="77"/>
      <c r="G23" s="77"/>
      <c r="H23" s="77"/>
      <c r="I23" s="91"/>
    </row>
    <row r="24" spans="4:8" ht="12.75">
      <c r="D24" s="83"/>
      <c r="E24" s="77"/>
      <c r="F24" s="77"/>
      <c r="G24" s="77"/>
      <c r="H24" s="77"/>
    </row>
    <row r="25" spans="1:8" s="86" customFormat="1" ht="16.5" customHeight="1" thickBot="1">
      <c r="A25" s="77"/>
      <c r="B25" s="77"/>
      <c r="C25" s="77"/>
      <c r="D25" s="77"/>
      <c r="E25" s="83"/>
      <c r="F25" s="83"/>
      <c r="G25" s="92"/>
      <c r="H25" s="83"/>
    </row>
    <row r="26" spans="1:8" ht="19.5" customHeight="1" thickBot="1">
      <c r="A26" s="86"/>
      <c r="B26" s="398" t="s">
        <v>63</v>
      </c>
      <c r="C26" s="399"/>
      <c r="D26" s="399"/>
      <c r="E26" s="399"/>
      <c r="F26" s="399"/>
      <c r="G26" s="399"/>
      <c r="H26" s="400"/>
    </row>
    <row r="27" spans="2:8" ht="19.5" customHeight="1">
      <c r="B27" s="382" t="s">
        <v>64</v>
      </c>
      <c r="C27" s="383"/>
      <c r="D27" s="383"/>
      <c r="E27" s="383"/>
      <c r="F27" s="383"/>
      <c r="G27" s="383"/>
      <c r="H27" s="384"/>
    </row>
    <row r="28" spans="2:8" ht="19.5" customHeight="1">
      <c r="B28" s="376" t="str">
        <f>CONCATENATE(C22," ",IF(F22="Inserir nº do contrato"," ",F22),G22)</f>
        <v>CT-PROINFA/EÓLICA/CONTRATO   </v>
      </c>
      <c r="C28" s="377"/>
      <c r="D28" s="377"/>
      <c r="E28" s="377"/>
      <c r="F28" s="377"/>
      <c r="G28" s="377"/>
      <c r="H28" s="378"/>
    </row>
    <row r="29" spans="2:8" ht="19.5" customHeight="1">
      <c r="B29" s="395" t="s">
        <v>65</v>
      </c>
      <c r="C29" s="402"/>
      <c r="D29" s="93" t="str">
        <f>CONCATENATE('Eólica (Faturamento)'!C4,"/",Eólica!C4)</f>
        <v>Maio/</v>
      </c>
      <c r="E29" s="94"/>
      <c r="F29" s="94"/>
      <c r="G29" s="94"/>
      <c r="H29" s="95"/>
    </row>
    <row r="30" spans="2:8" ht="19.5" customHeight="1">
      <c r="B30" s="395" t="s">
        <v>91</v>
      </c>
      <c r="C30" s="377"/>
      <c r="D30" s="93">
        <f>'Eólica (Faturamento)'!C13</f>
        <v>0</v>
      </c>
      <c r="E30" s="94"/>
      <c r="F30" s="94"/>
      <c r="G30" s="94"/>
      <c r="H30" s="95"/>
    </row>
    <row r="31" spans="2:8" ht="19.5" customHeight="1">
      <c r="B31" s="395" t="s">
        <v>66</v>
      </c>
      <c r="C31" s="377"/>
      <c r="D31" s="96">
        <f>'Eólica (Faturamento)'!C11</f>
        <v>0</v>
      </c>
      <c r="E31" s="94"/>
      <c r="F31" s="94"/>
      <c r="G31" s="94"/>
      <c r="H31" s="95"/>
    </row>
    <row r="32" spans="2:8" ht="19.5" customHeight="1">
      <c r="B32" s="395" t="s">
        <v>101</v>
      </c>
      <c r="C32" s="377"/>
      <c r="D32" s="96">
        <f>'Eólica (Faturamento)'!H16+'Eólica (Faturamento)'!H17+'Eólica (Faturamento)'!H18</f>
        <v>0</v>
      </c>
      <c r="E32" s="94"/>
      <c r="F32" s="94"/>
      <c r="G32" s="94"/>
      <c r="H32" s="95"/>
    </row>
    <row r="33" spans="2:8" ht="19.5" customHeight="1">
      <c r="B33" s="395" t="str">
        <f>CONCATENATE("Ajuste financeiro de ",Eólica!C4-1)</f>
        <v>Ajuste financeiro de -1</v>
      </c>
      <c r="C33" s="377"/>
      <c r="D33" s="96">
        <f>'Eólica (Faturamento)'!C15</f>
        <v>0</v>
      </c>
      <c r="E33" s="97"/>
      <c r="F33" s="98"/>
      <c r="G33" s="99"/>
      <c r="H33" s="95"/>
    </row>
    <row r="34" spans="2:8" ht="45" customHeight="1">
      <c r="B34" s="396" t="str">
        <f>'Eólica (Faturamento)'!B8</f>
        <v>Entrar ano de cálculo</v>
      </c>
      <c r="C34" s="397"/>
      <c r="D34" s="96">
        <f>'Eólica (Faturamento)'!C17</f>
        <v>0</v>
      </c>
      <c r="E34" s="97"/>
      <c r="F34" s="98"/>
      <c r="G34" s="99"/>
      <c r="H34" s="95"/>
    </row>
    <row r="35" spans="2:8" ht="32.25" customHeight="1">
      <c r="B35" s="396" t="str">
        <f>IF('Eólica (Faturamento)'!C20=0," ","Correção da fatura dos meses anteriores")</f>
        <v> </v>
      </c>
      <c r="C35" s="397"/>
      <c r="D35" s="96" t="str">
        <f>IF('Eólica (Faturamento)'!C20=0," ",'Eólica (Faturamento)'!C20)</f>
        <v> </v>
      </c>
      <c r="E35" s="97"/>
      <c r="F35" s="98"/>
      <c r="G35" s="99"/>
      <c r="H35" s="95"/>
    </row>
    <row r="36" spans="2:8" ht="19.5" customHeight="1">
      <c r="B36" s="291" t="s">
        <v>139</v>
      </c>
      <c r="C36" s="292"/>
      <c r="D36" s="96">
        <f>'Eólica (Faturamento)'!C22</f>
        <v>0</v>
      </c>
      <c r="E36" s="97"/>
      <c r="F36" s="98"/>
      <c r="G36" s="99"/>
      <c r="H36" s="95"/>
    </row>
    <row r="37" spans="2:8" ht="33" customHeight="1">
      <c r="B37" s="396" t="str">
        <f>'Eólica (Faturamento)'!B19</f>
        <v>Garantia Contratual (cl. 14 § 14 do CCVE)</v>
      </c>
      <c r="C37" s="397"/>
      <c r="D37" s="96">
        <f>'Eólica (Faturamento)'!C19</f>
        <v>0</v>
      </c>
      <c r="E37" s="97"/>
      <c r="F37" s="98"/>
      <c r="G37" s="99"/>
      <c r="H37" s="95"/>
    </row>
    <row r="38" spans="1:8" s="108" customFormat="1" ht="15" customHeight="1">
      <c r="A38" s="77"/>
      <c r="B38" s="395" t="s">
        <v>126</v>
      </c>
      <c r="C38" s="377"/>
      <c r="D38" s="96">
        <f>'Eólica (Faturamento)'!C21</f>
        <v>0</v>
      </c>
      <c r="E38" s="97"/>
      <c r="F38" s="98"/>
      <c r="G38" s="99"/>
      <c r="H38" s="95"/>
    </row>
    <row r="39" spans="2:8" s="108" customFormat="1" ht="15" customHeight="1">
      <c r="B39" s="100" t="s">
        <v>92</v>
      </c>
      <c r="C39" s="101"/>
      <c r="D39" s="98"/>
      <c r="E39" s="102"/>
      <c r="F39" s="102"/>
      <c r="G39" s="99"/>
      <c r="H39" s="103"/>
    </row>
    <row r="40" spans="2:8" s="108" customFormat="1" ht="14.25">
      <c r="B40" s="391" t="s">
        <v>67</v>
      </c>
      <c r="C40" s="392"/>
      <c r="D40" s="393" t="str">
        <f>CONCATENATE("20","/",C75,"/",F75)</f>
        <v>20/6/0</v>
      </c>
      <c r="E40" s="393"/>
      <c r="F40" s="393"/>
      <c r="G40" s="393"/>
      <c r="H40" s="394"/>
    </row>
    <row r="41" spans="2:8" s="108" customFormat="1" ht="15" customHeight="1" thickBot="1">
      <c r="B41" s="104"/>
      <c r="C41" s="105"/>
      <c r="D41" s="105"/>
      <c r="E41" s="105"/>
      <c r="F41" s="105"/>
      <c r="G41" s="106"/>
      <c r="H41" s="107"/>
    </row>
    <row r="42" spans="1:8" ht="13.5" thickBot="1">
      <c r="A42" s="108"/>
      <c r="B42" s="398" t="s">
        <v>68</v>
      </c>
      <c r="C42" s="399"/>
      <c r="D42" s="399"/>
      <c r="E42" s="399"/>
      <c r="F42" s="399"/>
      <c r="G42" s="399"/>
      <c r="H42" s="400"/>
    </row>
    <row r="43" spans="2:8" ht="15">
      <c r="B43" s="109" t="s">
        <v>93</v>
      </c>
      <c r="C43" s="110"/>
      <c r="D43" s="111"/>
      <c r="E43" s="111"/>
      <c r="F43" s="112"/>
      <c r="G43" s="113"/>
      <c r="H43" s="114"/>
    </row>
    <row r="44" spans="2:8" ht="15">
      <c r="B44" s="115" t="s">
        <v>94</v>
      </c>
      <c r="C44" s="116"/>
      <c r="D44" s="117"/>
      <c r="E44" s="118"/>
      <c r="F44" s="118"/>
      <c r="G44" s="119"/>
      <c r="H44" s="120"/>
    </row>
    <row r="45" spans="2:8" ht="15">
      <c r="B45" s="115" t="s">
        <v>95</v>
      </c>
      <c r="C45" s="116"/>
      <c r="D45" s="117"/>
      <c r="E45" s="118"/>
      <c r="F45" s="118"/>
      <c r="G45" s="119"/>
      <c r="H45" s="120"/>
    </row>
    <row r="46" spans="2:8" ht="15" customHeight="1" thickBot="1">
      <c r="B46" s="115" t="s">
        <v>96</v>
      </c>
      <c r="C46" s="121"/>
      <c r="D46" s="121"/>
      <c r="E46" s="122"/>
      <c r="F46" s="122"/>
      <c r="G46" s="123"/>
      <c r="H46" s="124"/>
    </row>
    <row r="47" spans="2:8" ht="15" customHeight="1" thickBot="1">
      <c r="B47" s="398" t="s">
        <v>69</v>
      </c>
      <c r="C47" s="399"/>
      <c r="D47" s="399"/>
      <c r="E47" s="399"/>
      <c r="F47" s="399"/>
      <c r="G47" s="399"/>
      <c r="H47" s="400"/>
    </row>
    <row r="48" spans="2:8" ht="15" customHeight="1">
      <c r="B48" s="115" t="s">
        <v>70</v>
      </c>
      <c r="C48" s="125"/>
      <c r="D48" s="126"/>
      <c r="E48" s="122"/>
      <c r="F48" s="385" t="s">
        <v>71</v>
      </c>
      <c r="G48" s="386"/>
      <c r="H48" s="127">
        <f>'Eólica (Faturamento)'!C26</f>
        <v>0</v>
      </c>
    </row>
    <row r="49" spans="2:8" ht="12.75" customHeight="1">
      <c r="B49" s="115" t="s">
        <v>72</v>
      </c>
      <c r="C49" s="370" t="s">
        <v>73</v>
      </c>
      <c r="D49" s="370"/>
      <c r="E49" s="371"/>
      <c r="F49" s="374" t="s">
        <v>74</v>
      </c>
      <c r="G49" s="375"/>
      <c r="H49" s="128" t="s">
        <v>75</v>
      </c>
    </row>
    <row r="50" spans="2:8" ht="15">
      <c r="B50" s="115" t="s">
        <v>76</v>
      </c>
      <c r="C50" s="370" t="s">
        <v>77</v>
      </c>
      <c r="D50" s="370"/>
      <c r="E50" s="371"/>
      <c r="F50" s="129" t="s">
        <v>78</v>
      </c>
      <c r="G50" s="130">
        <v>1.2</v>
      </c>
      <c r="H50" s="131">
        <f>ROUND($H$48*G50%,2)</f>
        <v>0</v>
      </c>
    </row>
    <row r="51" spans="2:8" ht="15" customHeight="1">
      <c r="B51" s="115" t="s">
        <v>79</v>
      </c>
      <c r="C51" s="370" t="s">
        <v>80</v>
      </c>
      <c r="D51" s="370"/>
      <c r="E51" s="371"/>
      <c r="F51" s="129" t="s">
        <v>81</v>
      </c>
      <c r="G51" s="130">
        <v>1</v>
      </c>
      <c r="H51" s="131">
        <f>ROUND($H$48*G51%,2)</f>
        <v>0</v>
      </c>
    </row>
    <row r="52" spans="2:8" ht="15">
      <c r="B52" s="132" t="s">
        <v>82</v>
      </c>
      <c r="C52" s="368" t="s">
        <v>83</v>
      </c>
      <c r="D52" s="368"/>
      <c r="E52" s="369"/>
      <c r="F52" s="129" t="s">
        <v>84</v>
      </c>
      <c r="G52" s="130">
        <v>3</v>
      </c>
      <c r="H52" s="131">
        <f>ROUND($H$48*G52%,2)</f>
        <v>0</v>
      </c>
    </row>
    <row r="53" spans="2:8" ht="15">
      <c r="B53" s="133" t="s">
        <v>85</v>
      </c>
      <c r="C53" s="134"/>
      <c r="D53" s="134"/>
      <c r="E53" s="135"/>
      <c r="F53" s="129" t="s">
        <v>86</v>
      </c>
      <c r="G53" s="130">
        <v>0.65</v>
      </c>
      <c r="H53" s="131">
        <f>ROUND($H$48*G53%,2)</f>
        <v>0</v>
      </c>
    </row>
    <row r="54" spans="2:8" ht="15">
      <c r="B54" s="362">
        <f>Extenso2(H55)</f>
      </c>
      <c r="C54" s="363"/>
      <c r="D54" s="363"/>
      <c r="E54" s="364"/>
      <c r="F54" s="136" t="s">
        <v>87</v>
      </c>
      <c r="G54" s="137">
        <f>SUM(G50:G53)</f>
        <v>5.8500000000000005</v>
      </c>
      <c r="H54" s="138">
        <f>SUM(H50:H53)</f>
        <v>0</v>
      </c>
    </row>
    <row r="55" spans="2:8" ht="15">
      <c r="B55" s="365"/>
      <c r="C55" s="366"/>
      <c r="D55" s="366"/>
      <c r="E55" s="367"/>
      <c r="F55" s="372" t="s">
        <v>88</v>
      </c>
      <c r="G55" s="373"/>
      <c r="H55" s="139">
        <f>'Eólica (Faturamento)'!C31</f>
        <v>0</v>
      </c>
    </row>
    <row r="56" spans="2:8" ht="15.75" thickBot="1">
      <c r="B56" s="140" t="s">
        <v>97</v>
      </c>
      <c r="C56" s="141"/>
      <c r="D56" s="142"/>
      <c r="E56" s="141"/>
      <c r="F56" s="141"/>
      <c r="G56" s="141"/>
      <c r="H56" s="143"/>
    </row>
    <row r="57" spans="2:8" ht="11.25" customHeight="1">
      <c r="B57" s="144"/>
      <c r="C57" s="145"/>
      <c r="D57" s="146"/>
      <c r="E57" s="145"/>
      <c r="F57" s="145"/>
      <c r="G57" s="145"/>
      <c r="H57" s="147"/>
    </row>
    <row r="58" spans="2:11" ht="11.25" customHeight="1">
      <c r="B58" s="100"/>
      <c r="C58" s="148"/>
      <c r="D58" s="149"/>
      <c r="E58" s="148"/>
      <c r="F58" s="148"/>
      <c r="G58" s="148"/>
      <c r="H58" s="150"/>
      <c r="I58" s="152"/>
      <c r="J58" s="152"/>
      <c r="K58" s="152"/>
    </row>
    <row r="59" spans="2:11" ht="11.25" customHeight="1">
      <c r="B59" s="359" t="s">
        <v>89</v>
      </c>
      <c r="C59" s="360"/>
      <c r="D59" s="360"/>
      <c r="E59" s="360"/>
      <c r="F59" s="360"/>
      <c r="G59" s="360"/>
      <c r="H59" s="361"/>
      <c r="I59" s="156"/>
      <c r="J59" s="152"/>
      <c r="K59" s="152"/>
    </row>
    <row r="60" spans="2:11" ht="13.5" thickBot="1">
      <c r="B60" s="356" t="s">
        <v>90</v>
      </c>
      <c r="C60" s="357"/>
      <c r="D60" s="357"/>
      <c r="E60" s="357"/>
      <c r="F60" s="357"/>
      <c r="G60" s="357"/>
      <c r="H60" s="358"/>
      <c r="I60" s="156"/>
      <c r="J60" s="152"/>
      <c r="K60" s="152"/>
    </row>
    <row r="61" spans="2:11" ht="12.75">
      <c r="B61" s="151"/>
      <c r="C61" s="151"/>
      <c r="D61" s="151"/>
      <c r="E61" s="151"/>
      <c r="F61" s="151"/>
      <c r="G61" s="151"/>
      <c r="H61" s="151"/>
      <c r="I61" s="156"/>
      <c r="J61" s="152"/>
      <c r="K61" s="152"/>
    </row>
    <row r="62" spans="2:11" ht="12.75">
      <c r="B62" s="154"/>
      <c r="C62" s="154"/>
      <c r="D62" s="154"/>
      <c r="E62" s="154"/>
      <c r="F62" s="154"/>
      <c r="G62" s="155"/>
      <c r="H62" s="155"/>
      <c r="I62" s="156"/>
      <c r="J62" s="152"/>
      <c r="K62" s="152"/>
    </row>
    <row r="63" spans="2:11" ht="12.75">
      <c r="B63" s="157">
        <f>IF('Eólica (Faturamento)'!C4="Janeiro",1,0)</f>
        <v>0</v>
      </c>
      <c r="C63" s="157">
        <f>IF($B$75=1,2,0)</f>
        <v>0</v>
      </c>
      <c r="D63" s="157">
        <f>IF($B$75=1,3,0)</f>
        <v>0</v>
      </c>
      <c r="E63" s="157"/>
      <c r="F63" s="157">
        <f>IF($B$75=1,Eólica!$C$4,0)</f>
        <v>0</v>
      </c>
      <c r="G63" s="157">
        <f>IF($B$75=1,Eólica!$C$4,0)</f>
        <v>0</v>
      </c>
      <c r="H63" s="157">
        <f>IF(AND(C75=2,OR(Eólica!C4=2008,Eólica!C4=2012,Eólica!C4=2016,Eólica!C4=2020,Eólica!C4=2024,Eólica!C4=2028)),29,0)</f>
        <v>0</v>
      </c>
      <c r="I63" s="156"/>
      <c r="J63" s="152"/>
      <c r="K63" s="152"/>
    </row>
    <row r="64" spans="2:11" ht="12.75">
      <c r="B64" s="157">
        <f>IF('Eólica (Faturamento)'!C4="Fevereiro",2,0)</f>
        <v>0</v>
      </c>
      <c r="C64" s="157">
        <f>IF($B$75=2,3,0)</f>
        <v>0</v>
      </c>
      <c r="D64" s="157">
        <f>IF($B$75=2,4,0)</f>
        <v>0</v>
      </c>
      <c r="E64" s="157"/>
      <c r="F64" s="157">
        <f>IF($B$75=2,Eólica!$C$4,0)</f>
        <v>0</v>
      </c>
      <c r="G64" s="157">
        <f>IF($B$75=2,Eólica!$C$4,0)</f>
        <v>0</v>
      </c>
      <c r="H64" s="157">
        <f>IF(AND(C75=2,AND(Eólica!C4&lt;&gt;2008,Eólica!C4&lt;&gt;2012,Eólica!C4&lt;&gt;2016,Eólica!C4&lt;&gt;2020,Eólica!C4&lt;&gt;2024,Eólica!C4&lt;&gt;2028)),28,0)</f>
        <v>0</v>
      </c>
      <c r="I64" s="156"/>
      <c r="J64" s="152"/>
      <c r="K64" s="152"/>
    </row>
    <row r="65" spans="2:11" ht="12.75">
      <c r="B65" s="157">
        <f>IF('Eólica (Faturamento)'!C4="Março",3,0)</f>
        <v>0</v>
      </c>
      <c r="C65" s="157">
        <f>IF($B$75=3,4,0)</f>
        <v>0</v>
      </c>
      <c r="D65" s="157">
        <f>IF($B$75=3,5,0)</f>
        <v>0</v>
      </c>
      <c r="E65" s="157"/>
      <c r="F65" s="157">
        <f>IF($B$75=3,Eólica!$C$4,0)</f>
        <v>0</v>
      </c>
      <c r="G65" s="157">
        <f>IF($B$75=3,Eólica!$C$4,0)</f>
        <v>0</v>
      </c>
      <c r="H65" s="157">
        <f>IF(C75&lt;&gt;2,30,0)</f>
        <v>30</v>
      </c>
      <c r="I65" s="156"/>
      <c r="J65" s="152"/>
      <c r="K65" s="152"/>
    </row>
    <row r="66" spans="2:11" ht="12.75">
      <c r="B66" s="157">
        <f>IF('Eólica (Faturamento)'!C4="Abril",4,0)</f>
        <v>0</v>
      </c>
      <c r="C66" s="157">
        <f>IF($B$75=4,5,0)</f>
        <v>0</v>
      </c>
      <c r="D66" s="157">
        <f>IF($B$75=4,6,0)</f>
        <v>0</v>
      </c>
      <c r="E66" s="157"/>
      <c r="F66" s="157">
        <f>IF($B$75=4,Eólica!$C$4,0)</f>
        <v>0</v>
      </c>
      <c r="G66" s="157">
        <f>IF($B$75=4,Eólica!$C$4,0)</f>
        <v>0</v>
      </c>
      <c r="H66" s="157">
        <f>SUM(H63:H65)</f>
        <v>30</v>
      </c>
      <c r="I66" s="156"/>
      <c r="J66" s="152"/>
      <c r="K66" s="152"/>
    </row>
    <row r="67" spans="2:11" ht="12.75">
      <c r="B67" s="157">
        <f>IF('Eólica (Faturamento)'!C4="Maio",5,0)</f>
        <v>5</v>
      </c>
      <c r="C67" s="157">
        <f>IF($B$75=5,6,0)</f>
        <v>6</v>
      </c>
      <c r="D67" s="157">
        <f>IF($B$75=5,7,0)</f>
        <v>7</v>
      </c>
      <c r="E67" s="157"/>
      <c r="F67" s="157">
        <f>IF($B$75=5,Eólica!$C$4,0)</f>
        <v>0</v>
      </c>
      <c r="G67" s="157">
        <f>IF($B$75=5,Eólica!$C$4,0)</f>
        <v>0</v>
      </c>
      <c r="H67" s="157"/>
      <c r="I67" s="156"/>
      <c r="J67" s="152"/>
      <c r="K67" s="152"/>
    </row>
    <row r="68" spans="2:11" ht="12.75">
      <c r="B68" s="157">
        <f>IF('Eólica (Faturamento)'!C4="Junho",6,0)</f>
        <v>0</v>
      </c>
      <c r="C68" s="157">
        <f>IF($B$75=6,7,0)</f>
        <v>0</v>
      </c>
      <c r="D68" s="157">
        <f>IF($B$75=6,8,0)</f>
        <v>0</v>
      </c>
      <c r="E68" s="157"/>
      <c r="F68" s="157">
        <f>IF($B$75=6,Eólica!$C$4,0)</f>
        <v>0</v>
      </c>
      <c r="G68" s="157">
        <f>IF($B$75=6,Eólica!$C$4,0)</f>
        <v>0</v>
      </c>
      <c r="H68" s="157"/>
      <c r="I68" s="156"/>
      <c r="J68" s="152"/>
      <c r="K68" s="152"/>
    </row>
    <row r="69" spans="2:11" ht="12.75">
      <c r="B69" s="157">
        <f>IF('Eólica (Faturamento)'!C4="Julho",7,0)</f>
        <v>0</v>
      </c>
      <c r="C69" s="157">
        <f>IF($B$75=7,8,0)</f>
        <v>0</v>
      </c>
      <c r="D69" s="157">
        <f>IF($B$75=7,9,0)</f>
        <v>0</v>
      </c>
      <c r="E69" s="157"/>
      <c r="F69" s="157">
        <f>IF($B$75=7,Eólica!$C$4,0)</f>
        <v>0</v>
      </c>
      <c r="G69" s="157">
        <f>IF($B$75=7,Eólica!$C$4,0)</f>
        <v>0</v>
      </c>
      <c r="H69" s="157"/>
      <c r="I69" s="156"/>
      <c r="J69" s="152"/>
      <c r="K69" s="152"/>
    </row>
    <row r="70" spans="2:11" ht="12.75">
      <c r="B70" s="157">
        <f>IF('Eólica (Faturamento)'!C4="Agosto",8,0)</f>
        <v>0</v>
      </c>
      <c r="C70" s="157">
        <f>IF($B$75=8,9,0)</f>
        <v>0</v>
      </c>
      <c r="D70" s="157">
        <f>IF($B$75=8,10,0)</f>
        <v>0</v>
      </c>
      <c r="E70" s="157"/>
      <c r="F70" s="157">
        <f>IF($B$75=8,Eólica!$C$4,0)</f>
        <v>0</v>
      </c>
      <c r="G70" s="157">
        <f>IF($B$75=8,Eólica!$C$4,0)</f>
        <v>0</v>
      </c>
      <c r="H70" s="157"/>
      <c r="I70" s="156"/>
      <c r="J70" s="152"/>
      <c r="K70" s="152"/>
    </row>
    <row r="71" spans="2:11" ht="12.75">
      <c r="B71" s="157">
        <f>IF('Eólica (Faturamento)'!C4="Setembro",9,0)</f>
        <v>0</v>
      </c>
      <c r="C71" s="157">
        <f>IF($B$75=9,10,0)</f>
        <v>0</v>
      </c>
      <c r="D71" s="157">
        <f>IF($B$75=9,11,0)</f>
        <v>0</v>
      </c>
      <c r="E71" s="157"/>
      <c r="F71" s="157">
        <f>IF($B$75=9,Eólica!$C$4,0)</f>
        <v>0</v>
      </c>
      <c r="G71" s="157">
        <f>IF($B$75=9,Eólica!$C$4,0)</f>
        <v>0</v>
      </c>
      <c r="H71" s="157"/>
      <c r="I71" s="156"/>
      <c r="J71" s="152"/>
      <c r="K71" s="152"/>
    </row>
    <row r="72" spans="2:11" ht="12.75">
      <c r="B72" s="157">
        <f>IF('Eólica (Faturamento)'!C4="Outubro",10,0)</f>
        <v>0</v>
      </c>
      <c r="C72" s="157">
        <f>IF($B$75=10,11,0)</f>
        <v>0</v>
      </c>
      <c r="D72" s="157">
        <f>IF($B$75=10,12,0)</f>
        <v>0</v>
      </c>
      <c r="E72" s="157"/>
      <c r="F72" s="157">
        <f>IF($B$75=10,Eólica!$C$4,0)</f>
        <v>0</v>
      </c>
      <c r="G72" s="157">
        <f>IF($B$75=10,Eólica!$C$4,0)</f>
        <v>0</v>
      </c>
      <c r="H72" s="157"/>
      <c r="I72" s="156"/>
      <c r="J72" s="152"/>
      <c r="K72" s="152"/>
    </row>
    <row r="73" spans="2:11" ht="12.75">
      <c r="B73" s="157">
        <f>IF('Eólica (Faturamento)'!C4="Novembro",11,0)</f>
        <v>0</v>
      </c>
      <c r="C73" s="157">
        <f>IF($B$75=11,12,0)</f>
        <v>0</v>
      </c>
      <c r="D73" s="157">
        <f>IF($B$75=11,1,0)</f>
        <v>0</v>
      </c>
      <c r="E73" s="157"/>
      <c r="F73" s="157">
        <f>IF($B$75=11,Eólica!$C$4,0)</f>
        <v>0</v>
      </c>
      <c r="G73" s="157">
        <f>IF($B$75=11,Eólica!$C$4+1,0)</f>
        <v>0</v>
      </c>
      <c r="H73" s="157"/>
      <c r="I73" s="156"/>
      <c r="J73" s="152"/>
      <c r="K73" s="152"/>
    </row>
    <row r="74" spans="2:11" ht="12.75">
      <c r="B74" s="157">
        <f>IF('Eólica (Faturamento)'!C4="Dezembro",12,0)</f>
        <v>0</v>
      </c>
      <c r="C74" s="157">
        <f>IF($B$75=12,1,0)</f>
        <v>0</v>
      </c>
      <c r="D74" s="157">
        <f>IF($B$75=12,2,0)</f>
        <v>0</v>
      </c>
      <c r="E74" s="157"/>
      <c r="F74" s="157">
        <f>IF($B$75=12,Eólica!$C$4+1,0)</f>
        <v>0</v>
      </c>
      <c r="G74" s="157">
        <f>IF($B$75=12,Eólica!$C$4+1,0)</f>
        <v>0</v>
      </c>
      <c r="H74" s="157"/>
      <c r="I74" s="156"/>
      <c r="J74" s="152"/>
      <c r="K74" s="152"/>
    </row>
    <row r="75" spans="2:11" ht="12.75">
      <c r="B75" s="157">
        <f>SUM(B63:B74)</f>
        <v>5</v>
      </c>
      <c r="C75" s="157">
        <f>SUM(C63:C74)</f>
        <v>6</v>
      </c>
      <c r="D75" s="157">
        <f>SUM(D63:D74)</f>
        <v>7</v>
      </c>
      <c r="E75" s="157"/>
      <c r="F75" s="157">
        <f>SUM(F63:F74)</f>
        <v>0</v>
      </c>
      <c r="G75" s="157">
        <f>SUM(G63:G74)</f>
        <v>0</v>
      </c>
      <c r="H75" s="157"/>
      <c r="I75" s="156"/>
      <c r="J75" s="152"/>
      <c r="K75" s="152"/>
    </row>
    <row r="76" spans="2:11" ht="12.75">
      <c r="B76" s="156"/>
      <c r="C76" s="156"/>
      <c r="D76" s="156"/>
      <c r="E76" s="157"/>
      <c r="F76" s="157"/>
      <c r="G76" s="157"/>
      <c r="H76" s="157"/>
      <c r="I76" s="156"/>
      <c r="J76" s="152"/>
      <c r="K76" s="152"/>
    </row>
    <row r="77" spans="2:11" ht="12.75">
      <c r="B77" s="156"/>
      <c r="C77" s="156"/>
      <c r="D77" s="156"/>
      <c r="E77" s="157"/>
      <c r="F77" s="157"/>
      <c r="G77" s="157"/>
      <c r="H77" s="157"/>
      <c r="I77" s="156"/>
      <c r="J77" s="152"/>
      <c r="K77" s="152"/>
    </row>
    <row r="78" spans="2:11" ht="12.75">
      <c r="B78" s="156"/>
      <c r="C78" s="156"/>
      <c r="D78" s="156"/>
      <c r="E78" s="157"/>
      <c r="F78" s="157"/>
      <c r="G78" s="157"/>
      <c r="H78" s="157"/>
      <c r="I78" s="156"/>
      <c r="J78" s="152"/>
      <c r="K78" s="152"/>
    </row>
    <row r="79" spans="2:11" ht="12.75">
      <c r="B79" s="156"/>
      <c r="C79" s="156"/>
      <c r="D79" s="156"/>
      <c r="E79" s="157"/>
      <c r="F79" s="157"/>
      <c r="G79" s="157"/>
      <c r="H79" s="157"/>
      <c r="I79" s="156"/>
      <c r="J79" s="152"/>
      <c r="K79" s="152"/>
    </row>
    <row r="80" spans="2:11" ht="12.75">
      <c r="B80" s="156"/>
      <c r="C80" s="156"/>
      <c r="D80" s="156"/>
      <c r="E80" s="157"/>
      <c r="F80" s="157"/>
      <c r="G80" s="157"/>
      <c r="H80" s="157"/>
      <c r="I80" s="152"/>
      <c r="J80" s="152"/>
      <c r="K80" s="152"/>
    </row>
    <row r="81" spans="2:11" ht="12.75">
      <c r="B81" s="156"/>
      <c r="C81" s="156"/>
      <c r="D81" s="156"/>
      <c r="E81" s="157"/>
      <c r="F81" s="157"/>
      <c r="G81" s="157"/>
      <c r="H81" s="157"/>
      <c r="I81" s="152"/>
      <c r="J81" s="152"/>
      <c r="K81" s="152"/>
    </row>
    <row r="82" spans="2:11" ht="12.75">
      <c r="B82" s="156"/>
      <c r="C82" s="156"/>
      <c r="D82" s="156"/>
      <c r="E82" s="157"/>
      <c r="F82" s="157"/>
      <c r="G82" s="157"/>
      <c r="H82" s="157"/>
      <c r="I82" s="152"/>
      <c r="J82" s="152"/>
      <c r="K82" s="152"/>
    </row>
    <row r="83" spans="2:11" ht="12.75">
      <c r="B83" s="152"/>
      <c r="C83" s="152"/>
      <c r="D83" s="152"/>
      <c r="E83" s="153"/>
      <c r="F83" s="153"/>
      <c r="G83" s="153"/>
      <c r="H83" s="153"/>
      <c r="I83" s="152"/>
      <c r="J83" s="152"/>
      <c r="K83" s="152"/>
    </row>
    <row r="84" spans="2:11" ht="12.75">
      <c r="B84" s="152"/>
      <c r="C84" s="152"/>
      <c r="D84" s="152"/>
      <c r="E84" s="153"/>
      <c r="F84" s="153"/>
      <c r="G84" s="153"/>
      <c r="H84" s="153"/>
      <c r="I84" s="152"/>
      <c r="J84" s="152"/>
      <c r="K84" s="152"/>
    </row>
    <row r="85" spans="2:11" ht="12.75">
      <c r="B85" s="152"/>
      <c r="C85" s="152"/>
      <c r="D85" s="152"/>
      <c r="E85" s="153"/>
      <c r="F85" s="153"/>
      <c r="G85" s="153"/>
      <c r="H85" s="153"/>
      <c r="I85" s="152"/>
      <c r="J85" s="152"/>
      <c r="K85" s="152"/>
    </row>
    <row r="86" spans="2:11" ht="12.75">
      <c r="B86" s="152"/>
      <c r="C86" s="152"/>
      <c r="D86" s="152"/>
      <c r="E86" s="153"/>
      <c r="F86" s="153"/>
      <c r="G86" s="153"/>
      <c r="H86" s="153"/>
      <c r="I86" s="152"/>
      <c r="J86" s="152"/>
      <c r="K86" s="152"/>
    </row>
    <row r="87" spans="2:11" ht="12.75">
      <c r="B87" s="152"/>
      <c r="C87" s="152"/>
      <c r="D87" s="152"/>
      <c r="E87" s="153"/>
      <c r="F87" s="153"/>
      <c r="G87" s="153"/>
      <c r="H87" s="153"/>
      <c r="I87" s="152"/>
      <c r="J87" s="152"/>
      <c r="K87" s="152"/>
    </row>
    <row r="88" spans="2:11" ht="12.75">
      <c r="B88" s="152"/>
      <c r="C88" s="152"/>
      <c r="D88" s="152"/>
      <c r="E88" s="153"/>
      <c r="F88" s="153"/>
      <c r="G88" s="153"/>
      <c r="H88" s="153"/>
      <c r="I88" s="152"/>
      <c r="J88" s="152"/>
      <c r="K88" s="152"/>
    </row>
    <row r="89" spans="2:11" ht="12.75">
      <c r="B89" s="152"/>
      <c r="C89" s="152"/>
      <c r="D89" s="152"/>
      <c r="E89" s="153"/>
      <c r="F89" s="153"/>
      <c r="G89" s="153"/>
      <c r="H89" s="153"/>
      <c r="I89" s="152"/>
      <c r="J89" s="152"/>
      <c r="K89" s="152"/>
    </row>
    <row r="90" spans="2:8" ht="12.75">
      <c r="B90" s="152"/>
      <c r="C90" s="152"/>
      <c r="D90" s="152"/>
      <c r="E90" s="153"/>
      <c r="F90" s="153"/>
      <c r="G90" s="153"/>
      <c r="H90" s="153"/>
    </row>
    <row r="91" spans="2:8" ht="12.75">
      <c r="B91" s="152"/>
      <c r="C91" s="152"/>
      <c r="D91" s="152"/>
      <c r="E91" s="153"/>
      <c r="F91" s="153"/>
      <c r="G91" s="153"/>
      <c r="H91" s="153"/>
    </row>
    <row r="92" spans="2:8" ht="12.75">
      <c r="B92" s="152"/>
      <c r="C92" s="152"/>
      <c r="D92" s="152"/>
      <c r="E92" s="153"/>
      <c r="F92" s="153"/>
      <c r="G92" s="153"/>
      <c r="H92" s="153"/>
    </row>
  </sheetData>
  <sheetProtection password="8147" sheet="1" selectLockedCells="1"/>
  <mergeCells count="36">
    <mergeCell ref="B42:H42"/>
    <mergeCell ref="B47:H47"/>
    <mergeCell ref="A1:H1"/>
    <mergeCell ref="B38:C38"/>
    <mergeCell ref="B29:C29"/>
    <mergeCell ref="B30:C30"/>
    <mergeCell ref="B37:C37"/>
    <mergeCell ref="B31:C31"/>
    <mergeCell ref="B32:C32"/>
    <mergeCell ref="B35:C35"/>
    <mergeCell ref="C13:H13"/>
    <mergeCell ref="C22:E22"/>
    <mergeCell ref="B8:H8"/>
    <mergeCell ref="B9:H9"/>
    <mergeCell ref="B40:C40"/>
    <mergeCell ref="D40:H40"/>
    <mergeCell ref="B33:C33"/>
    <mergeCell ref="B34:C34"/>
    <mergeCell ref="B26:H26"/>
    <mergeCell ref="F49:G49"/>
    <mergeCell ref="B28:H28"/>
    <mergeCell ref="B4:H4"/>
    <mergeCell ref="B5:H5"/>
    <mergeCell ref="B6:H6"/>
    <mergeCell ref="B7:H7"/>
    <mergeCell ref="B27:H27"/>
    <mergeCell ref="C49:E49"/>
    <mergeCell ref="F48:G48"/>
    <mergeCell ref="C11:H11"/>
    <mergeCell ref="B60:H60"/>
    <mergeCell ref="B59:H59"/>
    <mergeCell ref="B54:E55"/>
    <mergeCell ref="C52:E52"/>
    <mergeCell ref="C51:E51"/>
    <mergeCell ref="C50:E50"/>
    <mergeCell ref="F55:G55"/>
  </mergeCells>
  <printOptions horizontalCentered="1" verticalCentered="1"/>
  <pageMargins left="0.4330708661417323" right="0.3937007874015748" top="0.5511811023622047" bottom="0.7480314960629921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K92"/>
  <sheetViews>
    <sheetView showGridLines="0" zoomScale="75" zoomScaleNormal="75" zoomScalePageLayoutView="0" workbookViewId="0" topLeftCell="A11">
      <selection activeCell="C11" sqref="C11:H11"/>
    </sheetView>
  </sheetViews>
  <sheetFormatPr defaultColWidth="9.140625" defaultRowHeight="12.75"/>
  <cols>
    <col min="1" max="1" width="9.140625" style="160" customWidth="1"/>
    <col min="2" max="2" width="15.8515625" style="160" customWidth="1"/>
    <col min="3" max="3" width="16.421875" style="160" customWidth="1"/>
    <col min="4" max="4" width="17.28125" style="160" customWidth="1"/>
    <col min="5" max="5" width="9.00390625" style="165" customWidth="1"/>
    <col min="6" max="6" width="18.421875" style="165" customWidth="1"/>
    <col min="7" max="7" width="21.57421875" style="165" customWidth="1"/>
    <col min="8" max="8" width="22.28125" style="165" bestFit="1" customWidth="1"/>
    <col min="9" max="9" width="10.57421875" style="160" bestFit="1" customWidth="1"/>
    <col min="10" max="16384" width="9.140625" style="160" customWidth="1"/>
  </cols>
  <sheetData>
    <row r="1" spans="1:8" ht="12.75" customHeight="1">
      <c r="A1" s="421" t="s">
        <v>44</v>
      </c>
      <c r="B1" s="421"/>
      <c r="C1" s="421"/>
      <c r="D1" s="421"/>
      <c r="E1" s="421"/>
      <c r="F1" s="421"/>
      <c r="G1" s="421"/>
      <c r="H1" s="421"/>
    </row>
    <row r="2" spans="1:8" ht="12.75" customHeight="1">
      <c r="A2" s="159"/>
      <c r="B2" s="159"/>
      <c r="C2" s="159"/>
      <c r="D2" s="159"/>
      <c r="E2" s="159"/>
      <c r="F2" s="159"/>
      <c r="G2" s="159"/>
      <c r="H2" s="159"/>
    </row>
    <row r="3" spans="1:8" ht="12.75" customHeight="1">
      <c r="A3" s="159"/>
      <c r="B3" s="159"/>
      <c r="C3" s="159"/>
      <c r="D3" s="159"/>
      <c r="E3" s="159"/>
      <c r="F3" s="159"/>
      <c r="G3" s="159"/>
      <c r="H3" s="159"/>
    </row>
    <row r="4" spans="1:8" ht="14.25">
      <c r="A4" s="78"/>
      <c r="B4" s="414" t="str">
        <f>'FATURA Parcela 1'!B4:H4</f>
        <v>Inserir Razão Social da Empresa</v>
      </c>
      <c r="C4" s="415"/>
      <c r="D4" s="415"/>
      <c r="E4" s="415"/>
      <c r="F4" s="415"/>
      <c r="G4" s="415"/>
      <c r="H4" s="415"/>
    </row>
    <row r="5" spans="1:8" ht="14.25">
      <c r="A5" s="78"/>
      <c r="B5" s="414" t="str">
        <f>'FATURA Parcela 1'!B5:H5</f>
        <v>Inserir Endereço da Empresa</v>
      </c>
      <c r="C5" s="415"/>
      <c r="D5" s="415"/>
      <c r="E5" s="415"/>
      <c r="F5" s="415"/>
      <c r="G5" s="415"/>
      <c r="H5" s="415"/>
    </row>
    <row r="6" spans="1:8" ht="14.25">
      <c r="A6" s="78"/>
      <c r="B6" s="414" t="str">
        <f>'FATURA Parcela 1'!B6:H6</f>
        <v>Inserir Telefone e e-mail da empresa</v>
      </c>
      <c r="C6" s="415"/>
      <c r="D6" s="415"/>
      <c r="E6" s="415"/>
      <c r="F6" s="415"/>
      <c r="G6" s="415"/>
      <c r="H6" s="415"/>
    </row>
    <row r="7" spans="2:8" ht="14.25">
      <c r="B7" s="414" t="str">
        <f>'FATURA Parcela 1'!B7:H7</f>
        <v>Inserir CEP, Município e UF da Empresa</v>
      </c>
      <c r="C7" s="415"/>
      <c r="D7" s="415"/>
      <c r="E7" s="415"/>
      <c r="F7" s="415"/>
      <c r="G7" s="415"/>
      <c r="H7" s="415"/>
    </row>
    <row r="8" spans="2:8" ht="14.25">
      <c r="B8" s="414" t="str">
        <f>'FATURA Parcela 1'!B8:H8</f>
        <v>Inserir CNPJ da Empresa</v>
      </c>
      <c r="C8" s="415"/>
      <c r="D8" s="415"/>
      <c r="E8" s="415"/>
      <c r="F8" s="415"/>
      <c r="G8" s="415"/>
      <c r="H8" s="415"/>
    </row>
    <row r="9" spans="2:8" ht="15" thickBot="1">
      <c r="B9" s="414" t="str">
        <f>'FATURA Parcela 1'!B9:H9</f>
        <v>Inserir IE da Empresa</v>
      </c>
      <c r="C9" s="415"/>
      <c r="D9" s="415"/>
      <c r="E9" s="415"/>
      <c r="F9" s="415"/>
      <c r="G9" s="415"/>
      <c r="H9" s="415"/>
    </row>
    <row r="10" spans="2:8" ht="13.5" thickTop="1">
      <c r="B10" s="161"/>
      <c r="C10" s="161"/>
      <c r="D10" s="161"/>
      <c r="E10" s="162"/>
      <c r="F10" s="162"/>
      <c r="G10" s="162"/>
      <c r="H10" s="162"/>
    </row>
    <row r="11" spans="2:8" ht="15.75">
      <c r="B11" s="163" t="s">
        <v>51</v>
      </c>
      <c r="C11" s="387" t="s">
        <v>52</v>
      </c>
      <c r="D11" s="387"/>
      <c r="E11" s="387"/>
      <c r="F11" s="387"/>
      <c r="G11" s="387"/>
      <c r="H11" s="387"/>
    </row>
    <row r="12" ht="12.75">
      <c r="D12" s="164"/>
    </row>
    <row r="13" spans="2:8" ht="12.75">
      <c r="B13" s="160" t="s">
        <v>53</v>
      </c>
      <c r="C13" s="419" t="str">
        <f>'FATURA Parcela 1'!C13:H13</f>
        <v>Inserir data de emissão da fatura</v>
      </c>
      <c r="D13" s="419"/>
      <c r="E13" s="415"/>
      <c r="F13" s="415"/>
      <c r="G13" s="415"/>
      <c r="H13" s="415"/>
    </row>
    <row r="14" spans="3:8" ht="15.75">
      <c r="C14" s="166"/>
      <c r="D14" s="165"/>
      <c r="E14" s="160"/>
      <c r="F14" s="160"/>
      <c r="G14" s="167"/>
      <c r="H14" s="160"/>
    </row>
    <row r="15" spans="2:8" ht="15.75">
      <c r="B15" s="160" t="s">
        <v>55</v>
      </c>
      <c r="C15" s="168" t="s">
        <v>56</v>
      </c>
      <c r="D15" s="169"/>
      <c r="E15" s="160"/>
      <c r="F15" s="160"/>
      <c r="G15" s="167"/>
      <c r="H15" s="160"/>
    </row>
    <row r="16" spans="4:8" ht="15.75">
      <c r="D16" s="165"/>
      <c r="E16" s="160"/>
      <c r="F16" s="160"/>
      <c r="G16" s="167"/>
      <c r="H16" s="160"/>
    </row>
    <row r="17" spans="3:7" ht="15.75">
      <c r="C17" s="160" t="s">
        <v>57</v>
      </c>
      <c r="D17" s="165"/>
      <c r="E17" s="160"/>
      <c r="F17" s="160"/>
      <c r="G17" s="167"/>
    </row>
    <row r="18" spans="3:7" ht="12.75">
      <c r="C18" s="160" t="s">
        <v>58</v>
      </c>
      <c r="D18" s="165"/>
      <c r="E18" s="160"/>
      <c r="F18" s="160"/>
      <c r="G18" s="160"/>
    </row>
    <row r="19" spans="3:7" ht="12.75">
      <c r="C19" s="160" t="s">
        <v>59</v>
      </c>
      <c r="D19" s="165"/>
      <c r="E19" s="160"/>
      <c r="F19" s="160"/>
      <c r="G19" s="160"/>
    </row>
    <row r="20" spans="3:7" ht="12.75">
      <c r="C20" s="160" t="s">
        <v>60</v>
      </c>
      <c r="D20" s="170"/>
      <c r="E20" s="160"/>
      <c r="F20" s="160"/>
      <c r="G20" s="160"/>
    </row>
    <row r="21" spans="4:7" ht="12.75">
      <c r="D21" s="165"/>
      <c r="E21" s="160"/>
      <c r="F21" s="160"/>
      <c r="G21" s="160"/>
    </row>
    <row r="22" spans="2:9" ht="12.75">
      <c r="B22" s="160" t="s">
        <v>61</v>
      </c>
      <c r="C22" s="420" t="s">
        <v>100</v>
      </c>
      <c r="D22" s="420"/>
      <c r="E22" s="420"/>
      <c r="F22" s="171" t="str">
        <f>IF('FATURA Parcela 1'!F22="Inserir nº do contrato"," ",'FATURA Parcela 1'!F22)</f>
        <v> </v>
      </c>
      <c r="G22" s="90" t="str">
        <f>IF(Eólica!C5=0," ",CONCATENATE("/",YEAR(Eólica!C5)))</f>
        <v> </v>
      </c>
      <c r="I22" s="172"/>
    </row>
    <row r="23" spans="4:9" ht="12.75">
      <c r="D23" s="165"/>
      <c r="E23" s="160"/>
      <c r="F23" s="160"/>
      <c r="G23" s="160"/>
      <c r="H23" s="160"/>
      <c r="I23" s="172"/>
    </row>
    <row r="24" spans="4:8" ht="12.75">
      <c r="D24" s="165"/>
      <c r="E24" s="160"/>
      <c r="F24" s="160"/>
      <c r="G24" s="160"/>
      <c r="H24" s="160"/>
    </row>
    <row r="25" spans="1:8" s="168" customFormat="1" ht="16.5" customHeight="1" thickBot="1">
      <c r="A25" s="160"/>
      <c r="B25" s="160"/>
      <c r="C25" s="160"/>
      <c r="D25" s="160"/>
      <c r="E25" s="165"/>
      <c r="F25" s="165"/>
      <c r="G25" s="173"/>
      <c r="H25" s="165"/>
    </row>
    <row r="26" spans="1:8" ht="19.5" customHeight="1" thickBot="1">
      <c r="A26" s="168"/>
      <c r="B26" s="404" t="s">
        <v>63</v>
      </c>
      <c r="C26" s="405"/>
      <c r="D26" s="405"/>
      <c r="E26" s="405"/>
      <c r="F26" s="405"/>
      <c r="G26" s="405"/>
      <c r="H26" s="406"/>
    </row>
    <row r="27" spans="2:8" ht="19.5" customHeight="1">
      <c r="B27" s="416" t="s">
        <v>64</v>
      </c>
      <c r="C27" s="417"/>
      <c r="D27" s="417"/>
      <c r="E27" s="417"/>
      <c r="F27" s="417"/>
      <c r="G27" s="417"/>
      <c r="H27" s="418"/>
    </row>
    <row r="28" spans="2:8" ht="19.5" customHeight="1">
      <c r="B28" s="432" t="str">
        <f>CONCATENATE(C22," ",IF(F22="Inserir nº do contrato"," ",F22),G22)</f>
        <v>CT-PROINFA/EÓLICA/CONTRATO   </v>
      </c>
      <c r="C28" s="420"/>
      <c r="D28" s="420"/>
      <c r="E28" s="420"/>
      <c r="F28" s="420"/>
      <c r="G28" s="420"/>
      <c r="H28" s="433"/>
    </row>
    <row r="29" spans="2:8" ht="19.5" customHeight="1">
      <c r="B29" s="395" t="s">
        <v>65</v>
      </c>
      <c r="C29" s="402"/>
      <c r="D29" s="93" t="str">
        <f>CONCATENATE('Eólica (Faturamento)'!C4,"/",Eólica!C4)</f>
        <v>Maio/</v>
      </c>
      <c r="E29" s="94"/>
      <c r="F29" s="94"/>
      <c r="G29" s="94"/>
      <c r="H29" s="95"/>
    </row>
    <row r="30" spans="2:8" ht="19.5" customHeight="1">
      <c r="B30" s="395" t="s">
        <v>91</v>
      </c>
      <c r="C30" s="377"/>
      <c r="D30" s="93">
        <f>'Eólica (Faturamento)'!C13</f>
        <v>0</v>
      </c>
      <c r="E30" s="94"/>
      <c r="F30" s="94"/>
      <c r="G30" s="94"/>
      <c r="H30" s="95"/>
    </row>
    <row r="31" spans="2:8" ht="19.5" customHeight="1">
      <c r="B31" s="395" t="s">
        <v>66</v>
      </c>
      <c r="C31" s="377"/>
      <c r="D31" s="96">
        <f>'Eólica (Faturamento)'!C11</f>
        <v>0</v>
      </c>
      <c r="E31" s="94"/>
      <c r="F31" s="94"/>
      <c r="G31" s="94"/>
      <c r="H31" s="95"/>
    </row>
    <row r="32" spans="2:8" ht="19.5" customHeight="1">
      <c r="B32" s="395" t="s">
        <v>101</v>
      </c>
      <c r="C32" s="377"/>
      <c r="D32" s="96">
        <f>'Eólica (Faturamento)'!H16+'Eólica (Faturamento)'!H17+'Eólica (Faturamento)'!H18</f>
        <v>0</v>
      </c>
      <c r="E32" s="94"/>
      <c r="F32" s="94"/>
      <c r="G32" s="94"/>
      <c r="H32" s="95"/>
    </row>
    <row r="33" spans="2:8" ht="19.5" customHeight="1">
      <c r="B33" s="395" t="str">
        <f>CONCATENATE("Ajuste financeiro de ",Eólica!C4-1)</f>
        <v>Ajuste financeiro de -1</v>
      </c>
      <c r="C33" s="377"/>
      <c r="D33" s="96">
        <f>'Eólica (Faturamento)'!C15</f>
        <v>0</v>
      </c>
      <c r="E33" s="97"/>
      <c r="F33" s="98"/>
      <c r="G33" s="99"/>
      <c r="H33" s="95"/>
    </row>
    <row r="34" spans="2:8" ht="46.5" customHeight="1">
      <c r="B34" s="396" t="str">
        <f>'Eólica (Faturamento)'!B8</f>
        <v>Entrar ano de cálculo</v>
      </c>
      <c r="C34" s="397"/>
      <c r="D34" s="96">
        <f>'Eólica (Faturamento)'!C17</f>
        <v>0</v>
      </c>
      <c r="E34" s="97"/>
      <c r="F34" s="98"/>
      <c r="G34" s="99"/>
      <c r="H34" s="95"/>
    </row>
    <row r="35" spans="2:8" ht="27.75" customHeight="1">
      <c r="B35" s="396" t="str">
        <f>IF('Eólica (Faturamento)'!C20=0," ","Correção da fatura dos meses anteriores")</f>
        <v> </v>
      </c>
      <c r="C35" s="397"/>
      <c r="D35" s="96" t="str">
        <f>IF('Eólica (Faturamento)'!C20=0," ",'Eólica (Faturamento)'!C20)</f>
        <v> </v>
      </c>
      <c r="E35" s="97"/>
      <c r="F35" s="98"/>
      <c r="G35" s="99"/>
      <c r="H35" s="95"/>
    </row>
    <row r="36" spans="2:8" ht="21" customHeight="1">
      <c r="B36" s="291" t="s">
        <v>139</v>
      </c>
      <c r="C36" s="292"/>
      <c r="D36" s="96">
        <f>'Eólica (Faturamento)'!C22</f>
        <v>0</v>
      </c>
      <c r="E36" s="97"/>
      <c r="F36" s="98"/>
      <c r="G36" s="99"/>
      <c r="H36" s="95"/>
    </row>
    <row r="37" spans="2:8" ht="36" customHeight="1">
      <c r="B37" s="396" t="str">
        <f>'Eólica (Faturamento)'!B19</f>
        <v>Garantia Contratual (cl. 14 § 14 do CCVE)</v>
      </c>
      <c r="C37" s="397"/>
      <c r="D37" s="96">
        <f>'Eólica (Faturamento)'!C19</f>
        <v>0</v>
      </c>
      <c r="E37" s="97"/>
      <c r="F37" s="98"/>
      <c r="G37" s="99"/>
      <c r="H37" s="95"/>
    </row>
    <row r="38" spans="1:8" s="184" customFormat="1" ht="15" customHeight="1">
      <c r="A38" s="160"/>
      <c r="B38" s="395" t="s">
        <v>126</v>
      </c>
      <c r="C38" s="377"/>
      <c r="D38" s="96">
        <f>'Eólica (Faturamento)'!C21</f>
        <v>0</v>
      </c>
      <c r="E38" s="97"/>
      <c r="F38" s="98"/>
      <c r="G38" s="99"/>
      <c r="H38" s="95"/>
    </row>
    <row r="39" spans="2:8" s="184" customFormat="1" ht="15" customHeight="1">
      <c r="B39" s="176" t="s">
        <v>98</v>
      </c>
      <c r="C39" s="177"/>
      <c r="D39" s="174"/>
      <c r="E39" s="178"/>
      <c r="F39" s="178"/>
      <c r="G39" s="175"/>
      <c r="H39" s="179"/>
    </row>
    <row r="40" spans="2:8" s="184" customFormat="1" ht="14.25">
      <c r="B40" s="412" t="s">
        <v>67</v>
      </c>
      <c r="C40" s="413"/>
      <c r="D40" s="393" t="str">
        <f>CONCATENATE('FATURA Parcela 1'!H66,"/",C75,"/",F75)</f>
        <v>30/6/0</v>
      </c>
      <c r="E40" s="393"/>
      <c r="F40" s="393"/>
      <c r="G40" s="393"/>
      <c r="H40" s="394"/>
    </row>
    <row r="41" spans="2:8" s="184" customFormat="1" ht="15" customHeight="1" thickBot="1">
      <c r="B41" s="180"/>
      <c r="C41" s="181"/>
      <c r="D41" s="181"/>
      <c r="E41" s="181"/>
      <c r="F41" s="181"/>
      <c r="G41" s="182"/>
      <c r="H41" s="183"/>
    </row>
    <row r="42" spans="1:8" ht="13.5" thickBot="1">
      <c r="A42" s="184"/>
      <c r="B42" s="404" t="s">
        <v>68</v>
      </c>
      <c r="C42" s="405"/>
      <c r="D42" s="405"/>
      <c r="E42" s="405"/>
      <c r="F42" s="405"/>
      <c r="G42" s="405"/>
      <c r="H42" s="406"/>
    </row>
    <row r="43" spans="2:8" ht="15">
      <c r="B43" s="185" t="s">
        <v>93</v>
      </c>
      <c r="C43" s="186"/>
      <c r="D43" s="187"/>
      <c r="E43" s="187"/>
      <c r="F43" s="188"/>
      <c r="G43" s="189"/>
      <c r="H43" s="190"/>
    </row>
    <row r="44" spans="2:8" ht="15">
      <c r="B44" s="191" t="s">
        <v>94</v>
      </c>
      <c r="C44" s="192"/>
      <c r="D44" s="193"/>
      <c r="E44" s="194"/>
      <c r="F44" s="194"/>
      <c r="G44" s="195"/>
      <c r="H44" s="196"/>
    </row>
    <row r="45" spans="2:8" ht="15">
      <c r="B45" s="191" t="s">
        <v>95</v>
      </c>
      <c r="C45" s="192"/>
      <c r="D45" s="193"/>
      <c r="E45" s="194"/>
      <c r="F45" s="194"/>
      <c r="G45" s="195"/>
      <c r="H45" s="196"/>
    </row>
    <row r="46" spans="2:8" ht="15.75" thickBot="1">
      <c r="B46" s="191" t="s">
        <v>96</v>
      </c>
      <c r="C46" s="197"/>
      <c r="D46" s="197"/>
      <c r="E46" s="198"/>
      <c r="F46" s="198"/>
      <c r="G46" s="199"/>
      <c r="H46" s="200"/>
    </row>
    <row r="47" spans="2:8" ht="15" customHeight="1" thickBot="1">
      <c r="B47" s="404" t="s">
        <v>69</v>
      </c>
      <c r="C47" s="405"/>
      <c r="D47" s="405"/>
      <c r="E47" s="405"/>
      <c r="F47" s="405"/>
      <c r="G47" s="405"/>
      <c r="H47" s="406"/>
    </row>
    <row r="48" spans="2:8" ht="15" customHeight="1">
      <c r="B48" s="191" t="s">
        <v>70</v>
      </c>
      <c r="C48" s="201"/>
      <c r="D48" s="202"/>
      <c r="E48" s="198"/>
      <c r="F48" s="410" t="s">
        <v>71</v>
      </c>
      <c r="G48" s="411"/>
      <c r="H48" s="203">
        <f>'Eólica (Faturamento)'!C27</f>
        <v>0</v>
      </c>
    </row>
    <row r="49" spans="2:8" ht="12.75" customHeight="1">
      <c r="B49" s="191" t="s">
        <v>72</v>
      </c>
      <c r="C49" s="407" t="str">
        <f>'FATURA Parcela 1'!C49:E49</f>
        <v>Entrar com nome do banco</v>
      </c>
      <c r="D49" s="408"/>
      <c r="E49" s="409"/>
      <c r="F49" s="430" t="s">
        <v>74</v>
      </c>
      <c r="G49" s="431"/>
      <c r="H49" s="204" t="s">
        <v>75</v>
      </c>
    </row>
    <row r="50" spans="2:8" ht="15">
      <c r="B50" s="191" t="s">
        <v>76</v>
      </c>
      <c r="C50" s="407" t="str">
        <f>'FATURA Parcela 1'!C50:E50</f>
        <v>Entrar com número do banco</v>
      </c>
      <c r="D50" s="408"/>
      <c r="E50" s="409"/>
      <c r="F50" s="205" t="s">
        <v>78</v>
      </c>
      <c r="G50" s="158">
        <f>'FATURA Parcela 1'!G50</f>
        <v>1.2</v>
      </c>
      <c r="H50" s="206">
        <f>ROUND($H$48*G50%,2)</f>
        <v>0</v>
      </c>
    </row>
    <row r="51" spans="2:8" ht="15">
      <c r="B51" s="191" t="s">
        <v>79</v>
      </c>
      <c r="C51" s="407" t="str">
        <f>'FATURA Parcela 1'!C51:E51</f>
        <v>Entrar com Agência, Município e UF</v>
      </c>
      <c r="D51" s="408"/>
      <c r="E51" s="409"/>
      <c r="F51" s="205" t="s">
        <v>81</v>
      </c>
      <c r="G51" s="158">
        <f>'FATURA Parcela 1'!G51</f>
        <v>1</v>
      </c>
      <c r="H51" s="206">
        <f>ROUND($H$48*G51%,2)</f>
        <v>0</v>
      </c>
    </row>
    <row r="52" spans="2:8" ht="15">
      <c r="B52" s="207" t="s">
        <v>82</v>
      </c>
      <c r="C52" s="407" t="str">
        <f>'FATURA Parcela 1'!C52:E52</f>
        <v>Entrar com Conta Corrente</v>
      </c>
      <c r="D52" s="408"/>
      <c r="E52" s="409"/>
      <c r="F52" s="205" t="s">
        <v>84</v>
      </c>
      <c r="G52" s="158">
        <f>'FATURA Parcela 1'!G52</f>
        <v>3</v>
      </c>
      <c r="H52" s="206">
        <f>ROUND($H$48*G52%,2)</f>
        <v>0</v>
      </c>
    </row>
    <row r="53" spans="2:8" ht="15">
      <c r="B53" s="208" t="s">
        <v>85</v>
      </c>
      <c r="C53" s="209"/>
      <c r="D53" s="209"/>
      <c r="E53" s="210"/>
      <c r="F53" s="205" t="s">
        <v>86</v>
      </c>
      <c r="G53" s="158">
        <f>'FATURA Parcela 1'!G53</f>
        <v>0.65</v>
      </c>
      <c r="H53" s="206">
        <f>ROUND($H$48*G53%,2)</f>
        <v>0</v>
      </c>
    </row>
    <row r="54" spans="2:8" ht="15">
      <c r="B54" s="362">
        <f>Extenso2(H55)</f>
      </c>
      <c r="C54" s="403"/>
      <c r="D54" s="403"/>
      <c r="E54" s="364"/>
      <c r="F54" s="211" t="s">
        <v>87</v>
      </c>
      <c r="G54" s="212">
        <f>SUM(G50:G53)</f>
        <v>5.8500000000000005</v>
      </c>
      <c r="H54" s="213">
        <f>SUM(H50:H53)</f>
        <v>0</v>
      </c>
    </row>
    <row r="55" spans="2:8" ht="15">
      <c r="B55" s="365"/>
      <c r="C55" s="366"/>
      <c r="D55" s="366"/>
      <c r="E55" s="367"/>
      <c r="F55" s="428" t="s">
        <v>88</v>
      </c>
      <c r="G55" s="429"/>
      <c r="H55" s="214">
        <f>'Eólica (Faturamento)'!C32</f>
        <v>0</v>
      </c>
    </row>
    <row r="56" spans="2:8" ht="15.75" thickBot="1">
      <c r="B56" s="215" t="s">
        <v>97</v>
      </c>
      <c r="C56" s="216"/>
      <c r="D56" s="217"/>
      <c r="E56" s="216"/>
      <c r="F56" s="216"/>
      <c r="G56" s="216"/>
      <c r="H56" s="218"/>
    </row>
    <row r="57" spans="2:8" ht="11.25" customHeight="1">
      <c r="B57" s="219"/>
      <c r="C57" s="220"/>
      <c r="D57" s="221"/>
      <c r="E57" s="220"/>
      <c r="F57" s="220"/>
      <c r="G57" s="220"/>
      <c r="H57" s="222"/>
    </row>
    <row r="58" spans="2:11" ht="11.25" customHeight="1">
      <c r="B58" s="176"/>
      <c r="C58" s="223"/>
      <c r="D58" s="224"/>
      <c r="E58" s="223"/>
      <c r="F58" s="223"/>
      <c r="G58" s="223"/>
      <c r="H58" s="225"/>
      <c r="I58" s="227"/>
      <c r="J58" s="227"/>
      <c r="K58" s="227"/>
    </row>
    <row r="59" spans="2:11" ht="11.25" customHeight="1">
      <c r="B59" s="425" t="s">
        <v>89</v>
      </c>
      <c r="C59" s="426"/>
      <c r="D59" s="426"/>
      <c r="E59" s="426"/>
      <c r="F59" s="426"/>
      <c r="G59" s="426"/>
      <c r="H59" s="427"/>
      <c r="I59" s="230"/>
      <c r="J59" s="227"/>
      <c r="K59" s="227"/>
    </row>
    <row r="60" spans="2:11" ht="13.5" thickBot="1">
      <c r="B60" s="422" t="str">
        <f>'FATURA Parcela 1'!B60:H60</f>
        <v>Escrever nome de quem assina</v>
      </c>
      <c r="C60" s="423"/>
      <c r="D60" s="423"/>
      <c r="E60" s="423"/>
      <c r="F60" s="423"/>
      <c r="G60" s="423"/>
      <c r="H60" s="424"/>
      <c r="I60" s="230"/>
      <c r="J60" s="227"/>
      <c r="K60" s="227"/>
    </row>
    <row r="61" spans="2:11" ht="12.75">
      <c r="B61" s="226"/>
      <c r="C61" s="226"/>
      <c r="D61" s="226"/>
      <c r="E61" s="226"/>
      <c r="F61" s="226"/>
      <c r="G61" s="226"/>
      <c r="H61" s="226"/>
      <c r="I61" s="230"/>
      <c r="J61" s="227"/>
      <c r="K61" s="227"/>
    </row>
    <row r="62" spans="2:11" ht="12.75">
      <c r="B62" s="228"/>
      <c r="C62" s="228"/>
      <c r="D62" s="228"/>
      <c r="E62" s="228"/>
      <c r="F62" s="228"/>
      <c r="G62" s="229"/>
      <c r="H62" s="229"/>
      <c r="I62" s="230"/>
      <c r="J62" s="227"/>
      <c r="K62" s="227"/>
    </row>
    <row r="63" spans="2:11" ht="12.75">
      <c r="B63" s="231">
        <f>IF('Eólica (Faturamento)'!C4="Janeiro",1,0)</f>
        <v>0</v>
      </c>
      <c r="C63" s="231">
        <f>IF($B$75=1,2,0)</f>
        <v>0</v>
      </c>
      <c r="D63" s="231">
        <f>IF($B$75=1,3,0)</f>
        <v>0</v>
      </c>
      <c r="E63" s="231"/>
      <c r="F63" s="231">
        <f>IF($B$75=1,Eólica!$C$4,0)</f>
        <v>0</v>
      </c>
      <c r="G63" s="231">
        <f>IF($B$75=1,Eólica!$C$4,0)</f>
        <v>0</v>
      </c>
      <c r="H63" s="231">
        <f>IF(AND(C75=2,OR(Eólica!C4=2008,Eólica!C4=2012,Eólica!C4=2016,Eólica!C4=2020,Eólica!C4=2024,Eólica!C4=2028)),29,0)</f>
        <v>0</v>
      </c>
      <c r="I63" s="230"/>
      <c r="J63" s="227"/>
      <c r="K63" s="227"/>
    </row>
    <row r="64" spans="2:11" ht="12.75">
      <c r="B64" s="231">
        <f>IF('Eólica (Faturamento)'!C4="Fevereiro",2,0)</f>
        <v>0</v>
      </c>
      <c r="C64" s="231">
        <f>IF($B$75=2,3,0)</f>
        <v>0</v>
      </c>
      <c r="D64" s="231">
        <f>IF($B$75=2,4,0)</f>
        <v>0</v>
      </c>
      <c r="E64" s="231"/>
      <c r="F64" s="231">
        <f>IF($B$75=2,Eólica!$C$4,0)</f>
        <v>0</v>
      </c>
      <c r="G64" s="231">
        <f>IF($B$75=2,Eólica!$C$4,0)</f>
        <v>0</v>
      </c>
      <c r="H64" s="231">
        <f>IF(AND(C75=2,AND(Eólica!C4&lt;&gt;2008,Eólica!C4&lt;&gt;2012,Eólica!C4&lt;&gt;2016,Eólica!C4&lt;&gt;2020,Eólica!C4&lt;&gt;2024,Eólica!C4&lt;&gt;2028)),28,0)</f>
        <v>0</v>
      </c>
      <c r="I64" s="230"/>
      <c r="J64" s="227"/>
      <c r="K64" s="227"/>
    </row>
    <row r="65" spans="2:11" ht="12.75">
      <c r="B65" s="231">
        <f>IF('Eólica (Faturamento)'!C4="Março",3,0)</f>
        <v>0</v>
      </c>
      <c r="C65" s="231">
        <f>IF($B$75=3,4,0)</f>
        <v>0</v>
      </c>
      <c r="D65" s="231">
        <f>IF($B$75=3,5,0)</f>
        <v>0</v>
      </c>
      <c r="E65" s="231"/>
      <c r="F65" s="231">
        <f>IF($B$75=3,Eólica!$C$4,0)</f>
        <v>0</v>
      </c>
      <c r="G65" s="231">
        <f>IF($B$75=3,Eólica!$C$4,0)</f>
        <v>0</v>
      </c>
      <c r="H65" s="231">
        <f>IF(C75&lt;&gt;2,30,0)</f>
        <v>30</v>
      </c>
      <c r="I65" s="230"/>
      <c r="J65" s="227"/>
      <c r="K65" s="227"/>
    </row>
    <row r="66" spans="2:11" ht="12.75">
      <c r="B66" s="231">
        <f>IF('Eólica (Faturamento)'!C4="Abril",4,0)</f>
        <v>0</v>
      </c>
      <c r="C66" s="231">
        <f>IF($B$75=4,5,0)</f>
        <v>0</v>
      </c>
      <c r="D66" s="231">
        <f>IF($B$75=4,6,0)</f>
        <v>0</v>
      </c>
      <c r="E66" s="231"/>
      <c r="F66" s="231">
        <f>IF($B$75=4,Eólica!$C$4,0)</f>
        <v>0</v>
      </c>
      <c r="G66" s="231">
        <f>IF($B$75=4,Eólica!$C$4,0)</f>
        <v>0</v>
      </c>
      <c r="H66" s="231">
        <f>SUM(H63:H65)</f>
        <v>30</v>
      </c>
      <c r="I66" s="230"/>
      <c r="J66" s="227"/>
      <c r="K66" s="227"/>
    </row>
    <row r="67" spans="2:11" ht="12.75">
      <c r="B67" s="231">
        <f>IF('Eólica (Faturamento)'!C4="Maio",5,0)</f>
        <v>5</v>
      </c>
      <c r="C67" s="231">
        <f>IF($B$75=5,6,0)</f>
        <v>6</v>
      </c>
      <c r="D67" s="231">
        <f>IF($B$75=5,7,0)</f>
        <v>7</v>
      </c>
      <c r="E67" s="231"/>
      <c r="F67" s="231">
        <f>IF($B$75=5,Eólica!$C$4,0)</f>
        <v>0</v>
      </c>
      <c r="G67" s="231">
        <f>IF($B$75=5,Eólica!$C$4,0)</f>
        <v>0</v>
      </c>
      <c r="H67" s="231"/>
      <c r="I67" s="230"/>
      <c r="J67" s="227"/>
      <c r="K67" s="227"/>
    </row>
    <row r="68" spans="2:11" ht="12.75">
      <c r="B68" s="231">
        <f>IF('Eólica (Faturamento)'!C4="Junho",6,0)</f>
        <v>0</v>
      </c>
      <c r="C68" s="231">
        <f>IF($B$75=6,7,0)</f>
        <v>0</v>
      </c>
      <c r="D68" s="231">
        <f>IF($B$75=6,8,0)</f>
        <v>0</v>
      </c>
      <c r="E68" s="231"/>
      <c r="F68" s="231">
        <f>IF($B$75=6,Eólica!$C$4,0)</f>
        <v>0</v>
      </c>
      <c r="G68" s="231">
        <f>IF($B$75=6,Eólica!$C$4,0)</f>
        <v>0</v>
      </c>
      <c r="H68" s="231"/>
      <c r="I68" s="230"/>
      <c r="J68" s="227"/>
      <c r="K68" s="227"/>
    </row>
    <row r="69" spans="2:11" ht="12.75">
      <c r="B69" s="231">
        <f>IF('Eólica (Faturamento)'!C4="Julho",7,0)</f>
        <v>0</v>
      </c>
      <c r="C69" s="231">
        <f>IF($B$75=7,8,0)</f>
        <v>0</v>
      </c>
      <c r="D69" s="231">
        <f>IF($B$75=7,9,0)</f>
        <v>0</v>
      </c>
      <c r="E69" s="231"/>
      <c r="F69" s="231">
        <f>IF($B$75=7,Eólica!$C$4,0)</f>
        <v>0</v>
      </c>
      <c r="G69" s="231">
        <f>IF($B$75=7,Eólica!$C$4,0)</f>
        <v>0</v>
      </c>
      <c r="H69" s="231"/>
      <c r="I69" s="230"/>
      <c r="J69" s="227"/>
      <c r="K69" s="227"/>
    </row>
    <row r="70" spans="2:11" ht="12.75">
      <c r="B70" s="231">
        <f>IF('Eólica (Faturamento)'!C4="Agosto",8,0)</f>
        <v>0</v>
      </c>
      <c r="C70" s="231">
        <f>IF($B$75=8,9,0)</f>
        <v>0</v>
      </c>
      <c r="D70" s="231">
        <f>IF($B$75=8,10,0)</f>
        <v>0</v>
      </c>
      <c r="E70" s="231"/>
      <c r="F70" s="231">
        <f>IF($B$75=8,Eólica!$C$4,0)</f>
        <v>0</v>
      </c>
      <c r="G70" s="231">
        <f>IF($B$75=8,Eólica!$C$4,0)</f>
        <v>0</v>
      </c>
      <c r="H70" s="231"/>
      <c r="I70" s="230"/>
      <c r="J70" s="227"/>
      <c r="K70" s="227"/>
    </row>
    <row r="71" spans="2:11" ht="12.75">
      <c r="B71" s="231">
        <f>IF('Eólica (Faturamento)'!C4="Setembro",9,0)</f>
        <v>0</v>
      </c>
      <c r="C71" s="231">
        <f>IF($B$75=9,10,0)</f>
        <v>0</v>
      </c>
      <c r="D71" s="231">
        <f>IF($B$75=9,11,0)</f>
        <v>0</v>
      </c>
      <c r="E71" s="231"/>
      <c r="F71" s="231">
        <f>IF($B$75=9,Eólica!$C$4,0)</f>
        <v>0</v>
      </c>
      <c r="G71" s="231">
        <f>IF($B$75=9,Eólica!$C$4,0)</f>
        <v>0</v>
      </c>
      <c r="H71" s="231"/>
      <c r="I71" s="230"/>
      <c r="J71" s="227"/>
      <c r="K71" s="227"/>
    </row>
    <row r="72" spans="2:11" ht="12.75">
      <c r="B72" s="231">
        <f>IF('Eólica (Faturamento)'!C4="Outubro",10,0)</f>
        <v>0</v>
      </c>
      <c r="C72" s="231">
        <f>IF($B$75=10,11,0)</f>
        <v>0</v>
      </c>
      <c r="D72" s="231">
        <f>IF($B$75=10,12,0)</f>
        <v>0</v>
      </c>
      <c r="E72" s="231"/>
      <c r="F72" s="231">
        <f>IF($B$75=10,Eólica!$C$4,0)</f>
        <v>0</v>
      </c>
      <c r="G72" s="231">
        <f>IF($B$75=10,Eólica!$C$4,0)</f>
        <v>0</v>
      </c>
      <c r="H72" s="231"/>
      <c r="I72" s="230"/>
      <c r="J72" s="227"/>
      <c r="K72" s="227"/>
    </row>
    <row r="73" spans="2:11" ht="12.75">
      <c r="B73" s="231">
        <f>IF('Eólica (Faturamento)'!C4="Novembro",11,0)</f>
        <v>0</v>
      </c>
      <c r="C73" s="231">
        <f>IF($B$75=11,12,0)</f>
        <v>0</v>
      </c>
      <c r="D73" s="231">
        <f>IF($B$75=11,1,0)</f>
        <v>0</v>
      </c>
      <c r="E73" s="231"/>
      <c r="F73" s="231">
        <f>IF($B$75=11,Eólica!$C$4,0)</f>
        <v>0</v>
      </c>
      <c r="G73" s="231">
        <f>IF($B$75=11,Eólica!$C$4+1,0)</f>
        <v>0</v>
      </c>
      <c r="H73" s="231"/>
      <c r="I73" s="230"/>
      <c r="J73" s="227"/>
      <c r="K73" s="227"/>
    </row>
    <row r="74" spans="2:11" ht="12.75">
      <c r="B74" s="231">
        <f>IF('Eólica (Faturamento)'!C4="Dezembro",12,0)</f>
        <v>0</v>
      </c>
      <c r="C74" s="231">
        <f>IF($B$75=12,1,0)</f>
        <v>0</v>
      </c>
      <c r="D74" s="231">
        <f>IF($B$75=12,2,0)</f>
        <v>0</v>
      </c>
      <c r="E74" s="231"/>
      <c r="F74" s="231">
        <f>IF($B$75=12,Eólica!$C$4+1,0)</f>
        <v>0</v>
      </c>
      <c r="G74" s="231">
        <f>IF($B$75=12,Eólica!$C$4+1,0)</f>
        <v>0</v>
      </c>
      <c r="H74" s="231"/>
      <c r="I74" s="230"/>
      <c r="J74" s="227"/>
      <c r="K74" s="227"/>
    </row>
    <row r="75" spans="2:11" ht="12.75">
      <c r="B75" s="231">
        <f>SUM(B63:B74)</f>
        <v>5</v>
      </c>
      <c r="C75" s="231">
        <f>SUM(C63:C74)</f>
        <v>6</v>
      </c>
      <c r="D75" s="231">
        <f>SUM(D63:D74)</f>
        <v>7</v>
      </c>
      <c r="E75" s="231"/>
      <c r="F75" s="231">
        <f>SUM(F63:F74)</f>
        <v>0</v>
      </c>
      <c r="G75" s="231">
        <f>SUM(G63:G74)</f>
        <v>0</v>
      </c>
      <c r="H75" s="231"/>
      <c r="I75" s="230"/>
      <c r="J75" s="227"/>
      <c r="K75" s="227"/>
    </row>
    <row r="76" spans="2:11" ht="12.75">
      <c r="B76" s="230"/>
      <c r="C76" s="230"/>
      <c r="D76" s="230"/>
      <c r="E76" s="231"/>
      <c r="F76" s="231"/>
      <c r="G76" s="231"/>
      <c r="H76" s="231"/>
      <c r="I76" s="230"/>
      <c r="J76" s="227"/>
      <c r="K76" s="227"/>
    </row>
    <row r="77" spans="2:11" ht="12.75">
      <c r="B77" s="230"/>
      <c r="C77" s="230"/>
      <c r="D77" s="230"/>
      <c r="E77" s="231"/>
      <c r="F77" s="231"/>
      <c r="G77" s="231"/>
      <c r="H77" s="231"/>
      <c r="I77" s="230"/>
      <c r="J77" s="227"/>
      <c r="K77" s="227"/>
    </row>
    <row r="78" spans="2:11" ht="12.75">
      <c r="B78" s="230"/>
      <c r="C78" s="230"/>
      <c r="D78" s="230"/>
      <c r="E78" s="231"/>
      <c r="F78" s="231"/>
      <c r="G78" s="231"/>
      <c r="H78" s="231"/>
      <c r="I78" s="230"/>
      <c r="J78" s="227"/>
      <c r="K78" s="227"/>
    </row>
    <row r="79" spans="2:11" ht="12.75">
      <c r="B79" s="230"/>
      <c r="C79" s="230"/>
      <c r="D79" s="230"/>
      <c r="E79" s="231"/>
      <c r="F79" s="231"/>
      <c r="G79" s="231"/>
      <c r="H79" s="231"/>
      <c r="I79" s="230"/>
      <c r="J79" s="227"/>
      <c r="K79" s="227"/>
    </row>
    <row r="80" spans="2:11" ht="12.75">
      <c r="B80" s="230"/>
      <c r="C80" s="230"/>
      <c r="D80" s="230"/>
      <c r="E80" s="231"/>
      <c r="F80" s="231"/>
      <c r="G80" s="231"/>
      <c r="H80" s="231"/>
      <c r="I80" s="227"/>
      <c r="J80" s="227"/>
      <c r="K80" s="227"/>
    </row>
    <row r="81" spans="2:11" ht="12.75">
      <c r="B81" s="230"/>
      <c r="C81" s="230"/>
      <c r="D81" s="230"/>
      <c r="E81" s="231"/>
      <c r="F81" s="231"/>
      <c r="G81" s="231"/>
      <c r="H81" s="231"/>
      <c r="I81" s="227"/>
      <c r="J81" s="227"/>
      <c r="K81" s="227"/>
    </row>
    <row r="82" spans="2:11" ht="12.75">
      <c r="B82" s="230"/>
      <c r="C82" s="230"/>
      <c r="D82" s="230"/>
      <c r="E82" s="231"/>
      <c r="F82" s="231"/>
      <c r="G82" s="231"/>
      <c r="H82" s="231"/>
      <c r="I82" s="227"/>
      <c r="J82" s="227"/>
      <c r="K82" s="227"/>
    </row>
    <row r="83" spans="2:11" ht="12.75">
      <c r="B83" s="227"/>
      <c r="C83" s="227"/>
      <c r="D83" s="227"/>
      <c r="E83" s="232"/>
      <c r="F83" s="232"/>
      <c r="G83" s="232"/>
      <c r="H83" s="232"/>
      <c r="I83" s="227"/>
      <c r="J83" s="227"/>
      <c r="K83" s="227"/>
    </row>
    <row r="84" spans="2:11" ht="12.75">
      <c r="B84" s="227"/>
      <c r="C84" s="227"/>
      <c r="D84" s="227"/>
      <c r="E84" s="232"/>
      <c r="F84" s="232"/>
      <c r="G84" s="232"/>
      <c r="H84" s="232"/>
      <c r="I84" s="227"/>
      <c r="J84" s="227"/>
      <c r="K84" s="227"/>
    </row>
    <row r="85" spans="2:11" ht="12.75">
      <c r="B85" s="227"/>
      <c r="C85" s="227"/>
      <c r="D85" s="227"/>
      <c r="E85" s="232"/>
      <c r="F85" s="232"/>
      <c r="G85" s="232"/>
      <c r="H85" s="232"/>
      <c r="I85" s="227"/>
      <c r="J85" s="227"/>
      <c r="K85" s="227"/>
    </row>
    <row r="86" spans="2:11" ht="12.75">
      <c r="B86" s="227"/>
      <c r="C86" s="227"/>
      <c r="D86" s="227"/>
      <c r="E86" s="232"/>
      <c r="F86" s="232"/>
      <c r="G86" s="232"/>
      <c r="H86" s="232"/>
      <c r="I86" s="227"/>
      <c r="J86" s="227"/>
      <c r="K86" s="227"/>
    </row>
    <row r="87" spans="2:11" ht="12.75">
      <c r="B87" s="227"/>
      <c r="C87" s="227"/>
      <c r="D87" s="227"/>
      <c r="E87" s="232"/>
      <c r="F87" s="232"/>
      <c r="G87" s="232"/>
      <c r="H87" s="232"/>
      <c r="I87" s="227"/>
      <c r="J87" s="227"/>
      <c r="K87" s="227"/>
    </row>
    <row r="88" spans="2:11" ht="12.75">
      <c r="B88" s="227"/>
      <c r="C88" s="227"/>
      <c r="D88" s="227"/>
      <c r="E88" s="232"/>
      <c r="F88" s="232"/>
      <c r="G88" s="232"/>
      <c r="H88" s="232"/>
      <c r="I88" s="227"/>
      <c r="J88" s="227"/>
      <c r="K88" s="227"/>
    </row>
    <row r="89" spans="2:11" ht="12.75">
      <c r="B89" s="227"/>
      <c r="C89" s="227"/>
      <c r="D89" s="227"/>
      <c r="E89" s="232"/>
      <c r="F89" s="232"/>
      <c r="G89" s="232"/>
      <c r="H89" s="232"/>
      <c r="I89" s="227"/>
      <c r="J89" s="227"/>
      <c r="K89" s="227"/>
    </row>
    <row r="90" spans="2:8" ht="12.75">
      <c r="B90" s="227"/>
      <c r="C90" s="227"/>
      <c r="D90" s="227"/>
      <c r="E90" s="232"/>
      <c r="F90" s="232"/>
      <c r="G90" s="232"/>
      <c r="H90" s="232"/>
    </row>
    <row r="91" spans="2:8" ht="12.75">
      <c r="B91" s="227"/>
      <c r="C91" s="227"/>
      <c r="D91" s="227"/>
      <c r="E91" s="232"/>
      <c r="F91" s="232"/>
      <c r="G91" s="232"/>
      <c r="H91" s="232"/>
    </row>
    <row r="92" spans="2:8" ht="12.75">
      <c r="B92" s="227"/>
      <c r="C92" s="227"/>
      <c r="D92" s="227"/>
      <c r="E92" s="232"/>
      <c r="F92" s="232"/>
      <c r="G92" s="232"/>
      <c r="H92" s="232"/>
    </row>
  </sheetData>
  <sheetProtection password="8147" sheet="1" selectLockedCells="1"/>
  <mergeCells count="36">
    <mergeCell ref="B38:C38"/>
    <mergeCell ref="A1:H1"/>
    <mergeCell ref="B26:H26"/>
    <mergeCell ref="B60:H60"/>
    <mergeCell ref="B59:H59"/>
    <mergeCell ref="F55:G55"/>
    <mergeCell ref="F49:G49"/>
    <mergeCell ref="B28:H28"/>
    <mergeCell ref="B4:H4"/>
    <mergeCell ref="B5:H5"/>
    <mergeCell ref="B6:H6"/>
    <mergeCell ref="B7:H7"/>
    <mergeCell ref="B27:H27"/>
    <mergeCell ref="C11:H11"/>
    <mergeCell ref="C13:H13"/>
    <mergeCell ref="C22:E22"/>
    <mergeCell ref="B8:H8"/>
    <mergeCell ref="B9:H9"/>
    <mergeCell ref="B29:C29"/>
    <mergeCell ref="B30:C30"/>
    <mergeCell ref="B37:C37"/>
    <mergeCell ref="B33:C33"/>
    <mergeCell ref="B34:C34"/>
    <mergeCell ref="B31:C31"/>
    <mergeCell ref="B32:C32"/>
    <mergeCell ref="B35:C35"/>
    <mergeCell ref="B54:E55"/>
    <mergeCell ref="D40:H40"/>
    <mergeCell ref="B42:H42"/>
    <mergeCell ref="B47:H47"/>
    <mergeCell ref="C49:E49"/>
    <mergeCell ref="C50:E50"/>
    <mergeCell ref="C51:E51"/>
    <mergeCell ref="C52:E52"/>
    <mergeCell ref="F48:G48"/>
    <mergeCell ref="B40:C40"/>
  </mergeCells>
  <printOptions horizontalCentered="1" verticalCentered="1"/>
  <pageMargins left="0.4330708661417323" right="0.3937007874015748" top="0.5511811023622047" bottom="0.7480314960629921" header="0.5118110236220472" footer="0.5118110236220472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K92"/>
  <sheetViews>
    <sheetView showGridLines="0" zoomScale="75" zoomScaleNormal="75" zoomScalePageLayoutView="0" workbookViewId="0" topLeftCell="A1">
      <selection activeCell="C11" sqref="C11:H11"/>
    </sheetView>
  </sheetViews>
  <sheetFormatPr defaultColWidth="9.140625" defaultRowHeight="12.75"/>
  <cols>
    <col min="1" max="1" width="9.140625" style="160" customWidth="1"/>
    <col min="2" max="2" width="15.8515625" style="160" customWidth="1"/>
    <col min="3" max="3" width="16.421875" style="160" customWidth="1"/>
    <col min="4" max="4" width="18.00390625" style="160" customWidth="1"/>
    <col min="5" max="5" width="9.00390625" style="165" customWidth="1"/>
    <col min="6" max="6" width="18.421875" style="165" customWidth="1"/>
    <col min="7" max="7" width="21.57421875" style="165" customWidth="1"/>
    <col min="8" max="8" width="22.28125" style="165" bestFit="1" customWidth="1"/>
    <col min="9" max="9" width="10.57421875" style="160" bestFit="1" customWidth="1"/>
    <col min="10" max="16384" width="9.140625" style="160" customWidth="1"/>
  </cols>
  <sheetData>
    <row r="1" spans="1:8" ht="12.75" customHeight="1">
      <c r="A1" s="421" t="s">
        <v>44</v>
      </c>
      <c r="B1" s="421"/>
      <c r="C1" s="421"/>
      <c r="D1" s="421"/>
      <c r="E1" s="421"/>
      <c r="F1" s="421"/>
      <c r="G1" s="421"/>
      <c r="H1" s="421"/>
    </row>
    <row r="2" spans="1:8" ht="12.75" customHeight="1">
      <c r="A2" s="159"/>
      <c r="B2" s="159"/>
      <c r="C2" s="159"/>
      <c r="D2" s="159"/>
      <c r="E2" s="159"/>
      <c r="F2" s="159"/>
      <c r="G2" s="159"/>
      <c r="H2" s="159"/>
    </row>
    <row r="3" spans="1:8" ht="12.75" customHeight="1">
      <c r="A3" s="159"/>
      <c r="B3" s="159"/>
      <c r="C3" s="159"/>
      <c r="D3" s="159"/>
      <c r="E3" s="159"/>
      <c r="F3" s="159"/>
      <c r="G3" s="159"/>
      <c r="H3" s="159"/>
    </row>
    <row r="4" spans="1:8" ht="14.25">
      <c r="A4" s="78"/>
      <c r="B4" s="414" t="str">
        <f>'FATURA Parcela 1'!B4:H4</f>
        <v>Inserir Razão Social da Empresa</v>
      </c>
      <c r="C4" s="415"/>
      <c r="D4" s="415"/>
      <c r="E4" s="415"/>
      <c r="F4" s="415"/>
      <c r="G4" s="415"/>
      <c r="H4" s="415"/>
    </row>
    <row r="5" spans="1:8" ht="14.25">
      <c r="A5" s="78"/>
      <c r="B5" s="414" t="str">
        <f>'FATURA Parcela 1'!B5:H5</f>
        <v>Inserir Endereço da Empresa</v>
      </c>
      <c r="C5" s="415"/>
      <c r="D5" s="415"/>
      <c r="E5" s="415"/>
      <c r="F5" s="415"/>
      <c r="G5" s="415"/>
      <c r="H5" s="415"/>
    </row>
    <row r="6" spans="1:8" ht="14.25">
      <c r="A6" s="78"/>
      <c r="B6" s="414" t="str">
        <f>'FATURA Parcela 1'!B6:H6</f>
        <v>Inserir Telefone e e-mail da empresa</v>
      </c>
      <c r="C6" s="415"/>
      <c r="D6" s="415"/>
      <c r="E6" s="415"/>
      <c r="F6" s="415"/>
      <c r="G6" s="415"/>
      <c r="H6" s="415"/>
    </row>
    <row r="7" spans="2:8" ht="14.25">
      <c r="B7" s="414" t="str">
        <f>'FATURA Parcela 1'!B7:H7</f>
        <v>Inserir CEP, Município e UF da Empresa</v>
      </c>
      <c r="C7" s="415"/>
      <c r="D7" s="415"/>
      <c r="E7" s="415"/>
      <c r="F7" s="415"/>
      <c r="G7" s="415"/>
      <c r="H7" s="415"/>
    </row>
    <row r="8" spans="2:8" ht="14.25">
      <c r="B8" s="414" t="str">
        <f>'FATURA Parcela 1'!B8:H8</f>
        <v>Inserir CNPJ da Empresa</v>
      </c>
      <c r="C8" s="415"/>
      <c r="D8" s="415"/>
      <c r="E8" s="415"/>
      <c r="F8" s="415"/>
      <c r="G8" s="415"/>
      <c r="H8" s="415"/>
    </row>
    <row r="9" spans="2:8" ht="15" thickBot="1">
      <c r="B9" s="414" t="str">
        <f>'FATURA Parcela 1'!B9:H9</f>
        <v>Inserir IE da Empresa</v>
      </c>
      <c r="C9" s="415"/>
      <c r="D9" s="415"/>
      <c r="E9" s="415"/>
      <c r="F9" s="415"/>
      <c r="G9" s="415"/>
      <c r="H9" s="415"/>
    </row>
    <row r="10" spans="2:8" ht="13.5" thickTop="1">
      <c r="B10" s="161"/>
      <c r="C10" s="161"/>
      <c r="D10" s="161"/>
      <c r="E10" s="162"/>
      <c r="F10" s="162"/>
      <c r="G10" s="162"/>
      <c r="H10" s="162"/>
    </row>
    <row r="11" spans="2:8" ht="15.75">
      <c r="B11" s="163" t="s">
        <v>51</v>
      </c>
      <c r="C11" s="387" t="s">
        <v>52</v>
      </c>
      <c r="D11" s="388"/>
      <c r="E11" s="388"/>
      <c r="F11" s="388"/>
      <c r="G11" s="388"/>
      <c r="H11" s="388"/>
    </row>
    <row r="12" ht="12.75">
      <c r="D12" s="164"/>
    </row>
    <row r="13" spans="2:8" ht="12.75">
      <c r="B13" s="160" t="s">
        <v>53</v>
      </c>
      <c r="C13" s="419" t="str">
        <f>'FATURA Parcela 1'!C13:H13</f>
        <v>Inserir data de emissão da fatura</v>
      </c>
      <c r="D13" s="419"/>
      <c r="E13" s="415"/>
      <c r="F13" s="415"/>
      <c r="G13" s="415"/>
      <c r="H13" s="415"/>
    </row>
    <row r="14" spans="3:8" ht="15.75">
      <c r="C14" s="166"/>
      <c r="D14" s="165"/>
      <c r="E14" s="160"/>
      <c r="F14" s="160"/>
      <c r="G14" s="167"/>
      <c r="H14" s="160"/>
    </row>
    <row r="15" spans="2:8" ht="15.75">
      <c r="B15" s="160" t="s">
        <v>55</v>
      </c>
      <c r="C15" s="168" t="s">
        <v>56</v>
      </c>
      <c r="D15" s="169"/>
      <c r="E15" s="160"/>
      <c r="F15" s="160"/>
      <c r="G15" s="167"/>
      <c r="H15" s="160"/>
    </row>
    <row r="16" spans="4:8" ht="15.75">
      <c r="D16" s="165"/>
      <c r="E16" s="160"/>
      <c r="F16" s="160"/>
      <c r="G16" s="167"/>
      <c r="H16" s="160"/>
    </row>
    <row r="17" spans="3:7" ht="15.75">
      <c r="C17" s="160" t="s">
        <v>57</v>
      </c>
      <c r="D17" s="165"/>
      <c r="E17" s="160"/>
      <c r="F17" s="160"/>
      <c r="G17" s="167"/>
    </row>
    <row r="18" spans="3:7" ht="12.75">
      <c r="C18" s="160" t="s">
        <v>58</v>
      </c>
      <c r="D18" s="165"/>
      <c r="E18" s="160"/>
      <c r="F18" s="160"/>
      <c r="G18" s="160"/>
    </row>
    <row r="19" spans="3:7" ht="12.75">
      <c r="C19" s="160" t="s">
        <v>59</v>
      </c>
      <c r="D19" s="165"/>
      <c r="E19" s="160"/>
      <c r="F19" s="160"/>
      <c r="G19" s="160"/>
    </row>
    <row r="20" spans="3:7" ht="12.75">
      <c r="C20" s="160" t="s">
        <v>60</v>
      </c>
      <c r="D20" s="170"/>
      <c r="E20" s="160"/>
      <c r="F20" s="160"/>
      <c r="G20" s="160"/>
    </row>
    <row r="21" spans="4:7" ht="12.75">
      <c r="D21" s="165"/>
      <c r="E21" s="160"/>
      <c r="F21" s="160"/>
      <c r="G21" s="160"/>
    </row>
    <row r="22" spans="2:9" ht="12.75">
      <c r="B22" s="160" t="s">
        <v>61</v>
      </c>
      <c r="C22" s="420" t="s">
        <v>100</v>
      </c>
      <c r="D22" s="420"/>
      <c r="E22" s="420"/>
      <c r="F22" s="171" t="str">
        <f>IF('FATURA Parcela 1'!F22="Inserir nº do contrato"," ",'FATURA Parcela 1'!F22)</f>
        <v> </v>
      </c>
      <c r="G22" s="90" t="str">
        <f>IF(Eólica!C5=0," ",CONCATENATE("/",YEAR(Eólica!C5)))</f>
        <v> </v>
      </c>
      <c r="I22" s="172"/>
    </row>
    <row r="23" spans="4:9" ht="12.75">
      <c r="D23" s="165"/>
      <c r="E23" s="160"/>
      <c r="F23" s="160"/>
      <c r="G23" s="160"/>
      <c r="H23" s="160"/>
      <c r="I23" s="172"/>
    </row>
    <row r="24" spans="4:8" ht="12.75">
      <c r="D24" s="165"/>
      <c r="E24" s="160"/>
      <c r="F24" s="160"/>
      <c r="G24" s="160"/>
      <c r="H24" s="160"/>
    </row>
    <row r="25" spans="1:8" s="168" customFormat="1" ht="16.5" customHeight="1" thickBot="1">
      <c r="A25" s="160"/>
      <c r="B25" s="160"/>
      <c r="C25" s="160"/>
      <c r="D25" s="160"/>
      <c r="E25" s="165"/>
      <c r="F25" s="165"/>
      <c r="G25" s="173"/>
      <c r="H25" s="165"/>
    </row>
    <row r="26" spans="1:8" ht="19.5" customHeight="1" thickBot="1">
      <c r="A26" s="168"/>
      <c r="B26" s="404" t="s">
        <v>63</v>
      </c>
      <c r="C26" s="405"/>
      <c r="D26" s="405"/>
      <c r="E26" s="405"/>
      <c r="F26" s="405"/>
      <c r="G26" s="405"/>
      <c r="H26" s="406"/>
    </row>
    <row r="27" spans="2:8" ht="19.5" customHeight="1">
      <c r="B27" s="416" t="s">
        <v>64</v>
      </c>
      <c r="C27" s="417"/>
      <c r="D27" s="417"/>
      <c r="E27" s="417"/>
      <c r="F27" s="417"/>
      <c r="G27" s="417"/>
      <c r="H27" s="418"/>
    </row>
    <row r="28" spans="2:8" ht="19.5" customHeight="1">
      <c r="B28" s="432" t="str">
        <f>CONCATENATE(C22," ",IF(F22="Inserir nº do contrato"," ",F22),G22)</f>
        <v>CT-PROINFA/EÓLICA/CONTRATO   </v>
      </c>
      <c r="C28" s="420"/>
      <c r="D28" s="420"/>
      <c r="E28" s="420"/>
      <c r="F28" s="420"/>
      <c r="G28" s="420"/>
      <c r="H28" s="433"/>
    </row>
    <row r="29" spans="2:8" ht="19.5" customHeight="1">
      <c r="B29" s="395" t="s">
        <v>65</v>
      </c>
      <c r="C29" s="402"/>
      <c r="D29" s="93" t="str">
        <f>CONCATENATE('Eólica (Faturamento)'!C4,"/",Eólica!C4)</f>
        <v>Maio/</v>
      </c>
      <c r="E29" s="94"/>
      <c r="F29" s="94"/>
      <c r="G29" s="94"/>
      <c r="H29" s="95"/>
    </row>
    <row r="30" spans="2:8" ht="19.5" customHeight="1">
      <c r="B30" s="395" t="s">
        <v>91</v>
      </c>
      <c r="C30" s="377"/>
      <c r="D30" s="93">
        <f>'Eólica (Faturamento)'!C13</f>
        <v>0</v>
      </c>
      <c r="E30" s="94"/>
      <c r="F30" s="94"/>
      <c r="G30" s="94"/>
      <c r="H30" s="95"/>
    </row>
    <row r="31" spans="2:8" ht="19.5" customHeight="1">
      <c r="B31" s="395" t="s">
        <v>66</v>
      </c>
      <c r="C31" s="377"/>
      <c r="D31" s="96">
        <f>'Eólica (Faturamento)'!C11</f>
        <v>0</v>
      </c>
      <c r="E31" s="94"/>
      <c r="F31" s="94"/>
      <c r="G31" s="94"/>
      <c r="H31" s="95"/>
    </row>
    <row r="32" spans="2:8" ht="19.5" customHeight="1">
      <c r="B32" s="395" t="s">
        <v>101</v>
      </c>
      <c r="C32" s="377"/>
      <c r="D32" s="96">
        <f>'Eólica (Faturamento)'!H16+'Eólica (Faturamento)'!H17+'Eólica (Faturamento)'!H18</f>
        <v>0</v>
      </c>
      <c r="E32" s="94"/>
      <c r="F32" s="94"/>
      <c r="G32" s="94"/>
      <c r="H32" s="95"/>
    </row>
    <row r="33" spans="2:8" ht="19.5" customHeight="1">
      <c r="B33" s="395" t="str">
        <f>CONCATENATE("Ajuste financeiro de ",Eólica!C4-1)</f>
        <v>Ajuste financeiro de -1</v>
      </c>
      <c r="C33" s="377"/>
      <c r="D33" s="96">
        <f>'Eólica (Faturamento)'!C15</f>
        <v>0</v>
      </c>
      <c r="E33" s="97"/>
      <c r="F33" s="98"/>
      <c r="G33" s="99"/>
      <c r="H33" s="95"/>
    </row>
    <row r="34" spans="2:8" ht="29.25" customHeight="1">
      <c r="B34" s="396" t="str">
        <f>'Eólica (Faturamento)'!B8</f>
        <v>Entrar ano de cálculo</v>
      </c>
      <c r="C34" s="397"/>
      <c r="D34" s="96">
        <f>'Eólica (Faturamento)'!C17</f>
        <v>0</v>
      </c>
      <c r="E34" s="97"/>
      <c r="F34" s="98"/>
      <c r="G34" s="99"/>
      <c r="H34" s="95"/>
    </row>
    <row r="35" spans="2:8" ht="25.5" customHeight="1">
      <c r="B35" s="396" t="str">
        <f>IF('Eólica (Faturamento)'!C20=0," ","Correção da fatura dos meses anteriores")</f>
        <v> </v>
      </c>
      <c r="C35" s="397"/>
      <c r="D35" s="96" t="str">
        <f>IF('Eólica (Faturamento)'!C20=0," ",'Eólica (Faturamento)'!C20)</f>
        <v> </v>
      </c>
      <c r="E35" s="97"/>
      <c r="F35" s="98"/>
      <c r="G35" s="99"/>
      <c r="H35" s="95"/>
    </row>
    <row r="36" spans="2:8" ht="25.5" customHeight="1">
      <c r="B36" s="291" t="s">
        <v>139</v>
      </c>
      <c r="C36" s="292"/>
      <c r="D36" s="96">
        <f>'Eólica (Faturamento)'!C22</f>
        <v>0</v>
      </c>
      <c r="E36" s="97"/>
      <c r="F36" s="98"/>
      <c r="G36" s="99"/>
      <c r="H36" s="95"/>
    </row>
    <row r="37" spans="2:8" ht="33.75" customHeight="1">
      <c r="B37" s="396" t="str">
        <f>'Eólica (Faturamento)'!B19</f>
        <v>Garantia Contratual (cl. 14 § 14 do CCVE)</v>
      </c>
      <c r="C37" s="397"/>
      <c r="D37" s="96">
        <f>'Eólica (Faturamento)'!C19</f>
        <v>0</v>
      </c>
      <c r="E37" s="97"/>
      <c r="F37" s="98"/>
      <c r="G37" s="99"/>
      <c r="H37" s="95"/>
    </row>
    <row r="38" spans="1:8" s="184" customFormat="1" ht="15" customHeight="1">
      <c r="A38" s="160"/>
      <c r="B38" s="395" t="s">
        <v>126</v>
      </c>
      <c r="C38" s="377"/>
      <c r="D38" s="96">
        <f>'Eólica (Faturamento)'!C21</f>
        <v>0</v>
      </c>
      <c r="E38" s="97"/>
      <c r="F38" s="98"/>
      <c r="G38" s="99"/>
      <c r="H38" s="95"/>
    </row>
    <row r="39" spans="2:8" s="184" customFormat="1" ht="15" customHeight="1">
      <c r="B39" s="176" t="s">
        <v>99</v>
      </c>
      <c r="C39" s="177"/>
      <c r="D39" s="174"/>
      <c r="E39" s="178"/>
      <c r="F39" s="178"/>
      <c r="G39" s="175"/>
      <c r="H39" s="179"/>
    </row>
    <row r="40" spans="2:8" s="184" customFormat="1" ht="14.25">
      <c r="B40" s="412" t="s">
        <v>67</v>
      </c>
      <c r="C40" s="434"/>
      <c r="D40" s="393" t="str">
        <f>CONCATENATE("10","/",D75,"/",G75)</f>
        <v>10/7/0</v>
      </c>
      <c r="E40" s="435"/>
      <c r="F40" s="435"/>
      <c r="G40" s="435"/>
      <c r="H40" s="436"/>
    </row>
    <row r="41" spans="2:8" s="184" customFormat="1" ht="15" customHeight="1" thickBot="1">
      <c r="B41" s="180"/>
      <c r="C41" s="181"/>
      <c r="D41" s="181"/>
      <c r="E41" s="181"/>
      <c r="F41" s="181"/>
      <c r="G41" s="182"/>
      <c r="H41" s="183"/>
    </row>
    <row r="42" spans="1:8" ht="13.5" thickBot="1">
      <c r="A42" s="184"/>
      <c r="B42" s="404" t="s">
        <v>68</v>
      </c>
      <c r="C42" s="405"/>
      <c r="D42" s="405"/>
      <c r="E42" s="405"/>
      <c r="F42" s="405"/>
      <c r="G42" s="405"/>
      <c r="H42" s="406"/>
    </row>
    <row r="43" spans="2:8" ht="15">
      <c r="B43" s="185" t="s">
        <v>93</v>
      </c>
      <c r="C43" s="186"/>
      <c r="D43" s="187"/>
      <c r="E43" s="187"/>
      <c r="F43" s="188"/>
      <c r="G43" s="189"/>
      <c r="H43" s="190"/>
    </row>
    <row r="44" spans="2:8" ht="15">
      <c r="B44" s="191" t="s">
        <v>94</v>
      </c>
      <c r="C44" s="192"/>
      <c r="D44" s="193"/>
      <c r="E44" s="194"/>
      <c r="F44" s="194"/>
      <c r="G44" s="195"/>
      <c r="H44" s="196"/>
    </row>
    <row r="45" spans="2:8" ht="15">
      <c r="B45" s="191" t="s">
        <v>95</v>
      </c>
      <c r="C45" s="192"/>
      <c r="D45" s="193"/>
      <c r="E45" s="194"/>
      <c r="F45" s="194"/>
      <c r="G45" s="195"/>
      <c r="H45" s="196"/>
    </row>
    <row r="46" spans="2:8" ht="15.75" thickBot="1">
      <c r="B46" s="191" t="s">
        <v>96</v>
      </c>
      <c r="C46" s="197"/>
      <c r="D46" s="197"/>
      <c r="E46" s="198"/>
      <c r="F46" s="198"/>
      <c r="G46" s="199"/>
      <c r="H46" s="200"/>
    </row>
    <row r="47" spans="2:8" ht="15" customHeight="1" thickBot="1">
      <c r="B47" s="404" t="s">
        <v>69</v>
      </c>
      <c r="C47" s="405"/>
      <c r="D47" s="405"/>
      <c r="E47" s="405"/>
      <c r="F47" s="405"/>
      <c r="G47" s="405"/>
      <c r="H47" s="406"/>
    </row>
    <row r="48" spans="2:8" ht="15" customHeight="1">
      <c r="B48" s="191" t="s">
        <v>70</v>
      </c>
      <c r="C48" s="201"/>
      <c r="D48" s="202"/>
      <c r="E48" s="198"/>
      <c r="F48" s="410" t="s">
        <v>71</v>
      </c>
      <c r="G48" s="411"/>
      <c r="H48" s="203">
        <f>'Eólica (Faturamento)'!C28</f>
        <v>0</v>
      </c>
    </row>
    <row r="49" spans="2:8" ht="12.75" customHeight="1">
      <c r="B49" s="191" t="s">
        <v>72</v>
      </c>
      <c r="C49" s="407" t="str">
        <f>'FATURA Parcela 1'!C49:E49</f>
        <v>Entrar com nome do banco</v>
      </c>
      <c r="D49" s="408"/>
      <c r="E49" s="409"/>
      <c r="F49" s="430" t="s">
        <v>74</v>
      </c>
      <c r="G49" s="431"/>
      <c r="H49" s="204" t="s">
        <v>75</v>
      </c>
    </row>
    <row r="50" spans="2:8" ht="15">
      <c r="B50" s="191" t="s">
        <v>76</v>
      </c>
      <c r="C50" s="407" t="str">
        <f>'FATURA Parcela 1'!C50:E50</f>
        <v>Entrar com número do banco</v>
      </c>
      <c r="D50" s="408"/>
      <c r="E50" s="409"/>
      <c r="F50" s="205" t="s">
        <v>78</v>
      </c>
      <c r="G50" s="158">
        <f>'FATURA Parcela 1'!G50</f>
        <v>1.2</v>
      </c>
      <c r="H50" s="206">
        <f>ROUND($H$48*G50%,2)</f>
        <v>0</v>
      </c>
    </row>
    <row r="51" spans="2:8" ht="15">
      <c r="B51" s="191" t="s">
        <v>79</v>
      </c>
      <c r="C51" s="407" t="str">
        <f>'FATURA Parcela 1'!C51:E51</f>
        <v>Entrar com Agência, Município e UF</v>
      </c>
      <c r="D51" s="408"/>
      <c r="E51" s="409"/>
      <c r="F51" s="205" t="s">
        <v>81</v>
      </c>
      <c r="G51" s="158">
        <f>'FATURA Parcela 1'!G51</f>
        <v>1</v>
      </c>
      <c r="H51" s="206">
        <f>ROUND($H$48*G51%,2)</f>
        <v>0</v>
      </c>
    </row>
    <row r="52" spans="2:8" ht="15">
      <c r="B52" s="207" t="s">
        <v>82</v>
      </c>
      <c r="C52" s="407" t="str">
        <f>'FATURA Parcela 1'!C52:E52</f>
        <v>Entrar com Conta Corrente</v>
      </c>
      <c r="D52" s="408"/>
      <c r="E52" s="409"/>
      <c r="F52" s="205" t="s">
        <v>84</v>
      </c>
      <c r="G52" s="158">
        <f>'FATURA Parcela 1'!G52</f>
        <v>3</v>
      </c>
      <c r="H52" s="206">
        <f>ROUND($H$48*G52%,2)</f>
        <v>0</v>
      </c>
    </row>
    <row r="53" spans="2:8" ht="15">
      <c r="B53" s="208" t="s">
        <v>85</v>
      </c>
      <c r="C53" s="209"/>
      <c r="D53" s="209"/>
      <c r="E53" s="210"/>
      <c r="F53" s="205" t="s">
        <v>86</v>
      </c>
      <c r="G53" s="158">
        <f>'FATURA Parcela 1'!G53</f>
        <v>0.65</v>
      </c>
      <c r="H53" s="206">
        <f>ROUND($H$48*G53%,2)</f>
        <v>0</v>
      </c>
    </row>
    <row r="54" spans="2:8" ht="15">
      <c r="B54" s="362">
        <f>Extenso2(H55)</f>
      </c>
      <c r="C54" s="403"/>
      <c r="D54" s="403"/>
      <c r="E54" s="364"/>
      <c r="F54" s="211" t="s">
        <v>87</v>
      </c>
      <c r="G54" s="212">
        <f>SUM(G50:G53)</f>
        <v>5.8500000000000005</v>
      </c>
      <c r="H54" s="213">
        <f>SUM(H50:H53)</f>
        <v>0</v>
      </c>
    </row>
    <row r="55" spans="2:8" ht="15">
      <c r="B55" s="365"/>
      <c r="C55" s="366"/>
      <c r="D55" s="366"/>
      <c r="E55" s="367"/>
      <c r="F55" s="428" t="s">
        <v>88</v>
      </c>
      <c r="G55" s="429"/>
      <c r="H55" s="214">
        <f>'Eólica (Faturamento)'!C33</f>
        <v>0</v>
      </c>
    </row>
    <row r="56" spans="2:8" ht="15.75" thickBot="1">
      <c r="B56" s="215" t="s">
        <v>97</v>
      </c>
      <c r="C56" s="216"/>
      <c r="D56" s="217"/>
      <c r="E56" s="216"/>
      <c r="F56" s="216"/>
      <c r="G56" s="216"/>
      <c r="H56" s="218"/>
    </row>
    <row r="57" spans="2:8" ht="11.25" customHeight="1">
      <c r="B57" s="219"/>
      <c r="C57" s="220"/>
      <c r="D57" s="221"/>
      <c r="E57" s="220"/>
      <c r="F57" s="220"/>
      <c r="G57" s="220"/>
      <c r="H57" s="222"/>
    </row>
    <row r="58" spans="2:11" ht="11.25" customHeight="1">
      <c r="B58" s="176"/>
      <c r="C58" s="223"/>
      <c r="D58" s="224"/>
      <c r="E58" s="223"/>
      <c r="F58" s="223"/>
      <c r="G58" s="223"/>
      <c r="H58" s="225"/>
      <c r="I58" s="227"/>
      <c r="J58" s="227"/>
      <c r="K58" s="227"/>
    </row>
    <row r="59" spans="2:11" ht="11.25" customHeight="1">
      <c r="B59" s="425" t="s">
        <v>89</v>
      </c>
      <c r="C59" s="426"/>
      <c r="D59" s="426"/>
      <c r="E59" s="426"/>
      <c r="F59" s="426"/>
      <c r="G59" s="426"/>
      <c r="H59" s="427"/>
      <c r="I59" s="230"/>
      <c r="J59" s="227"/>
      <c r="K59" s="227"/>
    </row>
    <row r="60" spans="2:11" ht="13.5" thickBot="1">
      <c r="B60" s="422" t="str">
        <f>'FATURA Parcela 1'!B60:H60</f>
        <v>Escrever nome de quem assina</v>
      </c>
      <c r="C60" s="423"/>
      <c r="D60" s="423"/>
      <c r="E60" s="423"/>
      <c r="F60" s="423"/>
      <c r="G60" s="423"/>
      <c r="H60" s="424"/>
      <c r="I60" s="230"/>
      <c r="J60" s="227"/>
      <c r="K60" s="227"/>
    </row>
    <row r="61" spans="2:11" ht="12.75">
      <c r="B61" s="226"/>
      <c r="C61" s="226"/>
      <c r="D61" s="226"/>
      <c r="E61" s="226"/>
      <c r="F61" s="226"/>
      <c r="G61" s="226"/>
      <c r="H61" s="226"/>
      <c r="I61" s="230"/>
      <c r="J61" s="227"/>
      <c r="K61" s="227"/>
    </row>
    <row r="62" spans="2:11" ht="12.75">
      <c r="B62" s="228"/>
      <c r="C62" s="228"/>
      <c r="D62" s="228"/>
      <c r="E62" s="228"/>
      <c r="F62" s="228"/>
      <c r="G62" s="229"/>
      <c r="H62" s="229"/>
      <c r="I62" s="230"/>
      <c r="J62" s="227"/>
      <c r="K62" s="227"/>
    </row>
    <row r="63" spans="2:11" ht="12.75">
      <c r="B63" s="231">
        <f>IF('Eólica (Faturamento)'!C4="Janeiro",1,0)</f>
        <v>0</v>
      </c>
      <c r="C63" s="231">
        <f>IF($B$75=1,2,0)</f>
        <v>0</v>
      </c>
      <c r="D63" s="231">
        <f>IF($B$75=1,3,0)</f>
        <v>0</v>
      </c>
      <c r="E63" s="231"/>
      <c r="F63" s="231">
        <f>IF($B$75=1,Eólica!$C$4,0)</f>
        <v>0</v>
      </c>
      <c r="G63" s="231">
        <f>IF($B$75=1,Eólica!$C$4,0)</f>
        <v>0</v>
      </c>
      <c r="H63" s="231">
        <f>IF(AND(C75=2,OR(Eólica!C4=2008,Eólica!C4=2012,Eólica!C4=2016,Eólica!C4=2020,Eólica!C4=2024,Eólica!C4=2028)),29,0)</f>
        <v>0</v>
      </c>
      <c r="I63" s="230"/>
      <c r="J63" s="227"/>
      <c r="K63" s="227"/>
    </row>
    <row r="64" spans="2:11" ht="12.75">
      <c r="B64" s="231">
        <f>IF('Eólica (Faturamento)'!C4="Fevereiro",2,0)</f>
        <v>0</v>
      </c>
      <c r="C64" s="231">
        <f>IF($B$75=2,3,0)</f>
        <v>0</v>
      </c>
      <c r="D64" s="231">
        <f>IF($B$75=2,4,0)</f>
        <v>0</v>
      </c>
      <c r="E64" s="231"/>
      <c r="F64" s="231">
        <f>IF($B$75=2,Eólica!$C$4,0)</f>
        <v>0</v>
      </c>
      <c r="G64" s="231">
        <f>IF($B$75=2,Eólica!$C$4,0)</f>
        <v>0</v>
      </c>
      <c r="H64" s="231">
        <f>IF(AND(C75=2,AND(Eólica!C4&lt;&gt;2008,Eólica!C4&lt;&gt;2012,Eólica!C4&lt;&gt;2016,Eólica!C4&lt;&gt;2020,Eólica!C4&lt;&gt;2024,Eólica!C4&lt;&gt;2028)),28,0)</f>
        <v>0</v>
      </c>
      <c r="I64" s="230"/>
      <c r="J64" s="227"/>
      <c r="K64" s="227"/>
    </row>
    <row r="65" spans="2:11" ht="12.75">
      <c r="B65" s="231">
        <f>IF('Eólica (Faturamento)'!C4="Março",3,0)</f>
        <v>0</v>
      </c>
      <c r="C65" s="231">
        <f>IF($B$75=3,4,0)</f>
        <v>0</v>
      </c>
      <c r="D65" s="231">
        <f>IF($B$75=3,5,0)</f>
        <v>0</v>
      </c>
      <c r="E65" s="231"/>
      <c r="F65" s="231">
        <f>IF($B$75=3,Eólica!$C$4,0)</f>
        <v>0</v>
      </c>
      <c r="G65" s="231">
        <f>IF($B$75=3,Eólica!$C$4,0)</f>
        <v>0</v>
      </c>
      <c r="H65" s="231">
        <f>IF(C75&lt;&gt;2,30,0)</f>
        <v>30</v>
      </c>
      <c r="I65" s="230"/>
      <c r="J65" s="227"/>
      <c r="K65" s="227"/>
    </row>
    <row r="66" spans="2:11" ht="12.75">
      <c r="B66" s="231">
        <f>IF('Eólica (Faturamento)'!C4="Abril",4,0)</f>
        <v>0</v>
      </c>
      <c r="C66" s="231">
        <f>IF($B$75=4,5,0)</f>
        <v>0</v>
      </c>
      <c r="D66" s="231">
        <f>IF($B$75=4,6,0)</f>
        <v>0</v>
      </c>
      <c r="E66" s="231"/>
      <c r="F66" s="231">
        <f>IF($B$75=4,Eólica!$C$4,0)</f>
        <v>0</v>
      </c>
      <c r="G66" s="231">
        <f>IF($B$75=4,Eólica!$C$4,0)</f>
        <v>0</v>
      </c>
      <c r="H66" s="231">
        <f>SUM(H63:H65)</f>
        <v>30</v>
      </c>
      <c r="I66" s="230"/>
      <c r="J66" s="227"/>
      <c r="K66" s="227"/>
    </row>
    <row r="67" spans="2:11" ht="12.75">
      <c r="B67" s="231">
        <f>IF('Eólica (Faturamento)'!C4="Maio",5,0)</f>
        <v>5</v>
      </c>
      <c r="C67" s="231">
        <f>IF($B$75=5,6,0)</f>
        <v>6</v>
      </c>
      <c r="D67" s="231">
        <f>IF($B$75=5,7,0)</f>
        <v>7</v>
      </c>
      <c r="E67" s="231"/>
      <c r="F67" s="231">
        <f>IF($B$75=5,Eólica!$C$4,0)</f>
        <v>0</v>
      </c>
      <c r="G67" s="231">
        <f>IF($B$75=5,Eólica!$C$4,0)</f>
        <v>0</v>
      </c>
      <c r="H67" s="231"/>
      <c r="I67" s="230"/>
      <c r="J67" s="227"/>
      <c r="K67" s="227"/>
    </row>
    <row r="68" spans="2:11" ht="12.75">
      <c r="B68" s="231">
        <f>IF('Eólica (Faturamento)'!C4="Junho",6,0)</f>
        <v>0</v>
      </c>
      <c r="C68" s="231">
        <f>IF($B$75=6,7,0)</f>
        <v>0</v>
      </c>
      <c r="D68" s="231">
        <f>IF($B$75=6,8,0)</f>
        <v>0</v>
      </c>
      <c r="E68" s="231"/>
      <c r="F68" s="231">
        <f>IF($B$75=6,Eólica!$C$4,0)</f>
        <v>0</v>
      </c>
      <c r="G68" s="231">
        <f>IF($B$75=6,Eólica!$C$4,0)</f>
        <v>0</v>
      </c>
      <c r="H68" s="231"/>
      <c r="I68" s="230"/>
      <c r="J68" s="227"/>
      <c r="K68" s="227"/>
    </row>
    <row r="69" spans="2:11" ht="12.75">
      <c r="B69" s="231">
        <f>IF('Eólica (Faturamento)'!C4="Julho",7,0)</f>
        <v>0</v>
      </c>
      <c r="C69" s="231">
        <f>IF($B$75=7,8,0)</f>
        <v>0</v>
      </c>
      <c r="D69" s="231">
        <f>IF($B$75=7,9,0)</f>
        <v>0</v>
      </c>
      <c r="E69" s="231"/>
      <c r="F69" s="231">
        <f>IF($B$75=7,Eólica!$C$4,0)</f>
        <v>0</v>
      </c>
      <c r="G69" s="231">
        <f>IF($B$75=7,Eólica!$C$4,0)</f>
        <v>0</v>
      </c>
      <c r="H69" s="231"/>
      <c r="I69" s="230"/>
      <c r="J69" s="227"/>
      <c r="K69" s="227"/>
    </row>
    <row r="70" spans="2:11" ht="12.75">
      <c r="B70" s="231">
        <f>IF('Eólica (Faturamento)'!C4="Agosto",8,0)</f>
        <v>0</v>
      </c>
      <c r="C70" s="231">
        <f>IF($B$75=8,9,0)</f>
        <v>0</v>
      </c>
      <c r="D70" s="231">
        <f>IF($B$75=8,10,0)</f>
        <v>0</v>
      </c>
      <c r="E70" s="231"/>
      <c r="F70" s="231">
        <f>IF($B$75=8,Eólica!$C$4,0)</f>
        <v>0</v>
      </c>
      <c r="G70" s="231">
        <f>IF($B$75=8,Eólica!$C$4,0)</f>
        <v>0</v>
      </c>
      <c r="H70" s="231"/>
      <c r="I70" s="230"/>
      <c r="J70" s="227"/>
      <c r="K70" s="227"/>
    </row>
    <row r="71" spans="2:11" ht="12.75">
      <c r="B71" s="231">
        <f>IF('Eólica (Faturamento)'!C4="Setembro",9,0)</f>
        <v>0</v>
      </c>
      <c r="C71" s="231">
        <f>IF($B$75=9,10,0)</f>
        <v>0</v>
      </c>
      <c r="D71" s="231">
        <f>IF($B$75=9,11,0)</f>
        <v>0</v>
      </c>
      <c r="E71" s="231"/>
      <c r="F71" s="231">
        <f>IF($B$75=9,Eólica!$C$4,0)</f>
        <v>0</v>
      </c>
      <c r="G71" s="231">
        <f>IF($B$75=9,Eólica!$C$4,0)</f>
        <v>0</v>
      </c>
      <c r="H71" s="231"/>
      <c r="I71" s="230"/>
      <c r="J71" s="227"/>
      <c r="K71" s="227"/>
    </row>
    <row r="72" spans="2:11" ht="12.75">
      <c r="B72" s="231">
        <f>IF('Eólica (Faturamento)'!C4="Outubro",10,0)</f>
        <v>0</v>
      </c>
      <c r="C72" s="231">
        <f>IF($B$75=10,11,0)</f>
        <v>0</v>
      </c>
      <c r="D72" s="231">
        <f>IF($B$75=10,12,0)</f>
        <v>0</v>
      </c>
      <c r="E72" s="231"/>
      <c r="F72" s="231">
        <f>IF($B$75=10,Eólica!$C$4,0)</f>
        <v>0</v>
      </c>
      <c r="G72" s="231">
        <f>IF($B$75=10,Eólica!$C$4,0)</f>
        <v>0</v>
      </c>
      <c r="H72" s="231"/>
      <c r="I72" s="230"/>
      <c r="J72" s="227"/>
      <c r="K72" s="227"/>
    </row>
    <row r="73" spans="2:11" ht="12.75">
      <c r="B73" s="231">
        <f>IF('Eólica (Faturamento)'!C4="Novembro",11,0)</f>
        <v>0</v>
      </c>
      <c r="C73" s="231">
        <f>IF($B$75=11,12,0)</f>
        <v>0</v>
      </c>
      <c r="D73" s="231">
        <f>IF($B$75=11,1,0)</f>
        <v>0</v>
      </c>
      <c r="E73" s="231"/>
      <c r="F73" s="231">
        <f>IF($B$75=11,Eólica!$C$4,0)</f>
        <v>0</v>
      </c>
      <c r="G73" s="231">
        <f>IF($B$75=11,Eólica!$C$4+1,0)</f>
        <v>0</v>
      </c>
      <c r="H73" s="231"/>
      <c r="I73" s="230"/>
      <c r="J73" s="227"/>
      <c r="K73" s="227"/>
    </row>
    <row r="74" spans="2:11" ht="12.75">
      <c r="B74" s="231">
        <f>IF('Eólica (Faturamento)'!C4="Dezembro",12,0)</f>
        <v>0</v>
      </c>
      <c r="C74" s="231">
        <f>IF($B$75=12,1,0)</f>
        <v>0</v>
      </c>
      <c r="D74" s="231">
        <f>IF($B$75=12,2,0)</f>
        <v>0</v>
      </c>
      <c r="E74" s="231"/>
      <c r="F74" s="231">
        <f>IF($B$75=12,Eólica!$C$4+1,0)</f>
        <v>0</v>
      </c>
      <c r="G74" s="231">
        <f>IF($B$75=12,Eólica!$C$4+1,0)</f>
        <v>0</v>
      </c>
      <c r="H74" s="231"/>
      <c r="I74" s="230"/>
      <c r="J74" s="227"/>
      <c r="K74" s="227"/>
    </row>
    <row r="75" spans="2:11" ht="12.75">
      <c r="B75" s="231">
        <f>SUM(B63:B74)</f>
        <v>5</v>
      </c>
      <c r="C75" s="231">
        <f>SUM(C63:C74)</f>
        <v>6</v>
      </c>
      <c r="D75" s="231">
        <f>SUM(D63:D74)</f>
        <v>7</v>
      </c>
      <c r="E75" s="231"/>
      <c r="F75" s="231">
        <f>SUM(F63:F74)</f>
        <v>0</v>
      </c>
      <c r="G75" s="231">
        <f>SUM(G63:G74)</f>
        <v>0</v>
      </c>
      <c r="H75" s="231"/>
      <c r="I75" s="230"/>
      <c r="J75" s="227"/>
      <c r="K75" s="227"/>
    </row>
    <row r="76" spans="2:11" ht="12.75">
      <c r="B76" s="230"/>
      <c r="C76" s="230"/>
      <c r="D76" s="230"/>
      <c r="E76" s="231"/>
      <c r="F76" s="231"/>
      <c r="G76" s="231"/>
      <c r="H76" s="231"/>
      <c r="I76" s="230"/>
      <c r="J76" s="227"/>
      <c r="K76" s="227"/>
    </row>
    <row r="77" spans="2:11" ht="12.75">
      <c r="B77" s="230"/>
      <c r="C77" s="230"/>
      <c r="D77" s="230"/>
      <c r="E77" s="231"/>
      <c r="F77" s="231"/>
      <c r="G77" s="231"/>
      <c r="H77" s="231"/>
      <c r="I77" s="230"/>
      <c r="J77" s="227"/>
      <c r="K77" s="227"/>
    </row>
    <row r="78" spans="2:11" ht="12.75">
      <c r="B78" s="230"/>
      <c r="C78" s="230"/>
      <c r="D78" s="230"/>
      <c r="E78" s="231"/>
      <c r="F78" s="231"/>
      <c r="G78" s="231"/>
      <c r="H78" s="231"/>
      <c r="I78" s="230"/>
      <c r="J78" s="227"/>
      <c r="K78" s="227"/>
    </row>
    <row r="79" spans="2:11" ht="12.75">
      <c r="B79" s="230"/>
      <c r="C79" s="230"/>
      <c r="D79" s="230"/>
      <c r="E79" s="231"/>
      <c r="F79" s="231"/>
      <c r="G79" s="231"/>
      <c r="H79" s="231"/>
      <c r="I79" s="230"/>
      <c r="J79" s="227"/>
      <c r="K79" s="227"/>
    </row>
    <row r="80" spans="2:11" ht="12.75">
      <c r="B80" s="230"/>
      <c r="C80" s="230"/>
      <c r="D80" s="230"/>
      <c r="E80" s="231"/>
      <c r="F80" s="231"/>
      <c r="G80" s="231"/>
      <c r="H80" s="231"/>
      <c r="I80" s="227"/>
      <c r="J80" s="227"/>
      <c r="K80" s="227"/>
    </row>
    <row r="81" spans="2:11" ht="12.75">
      <c r="B81" s="230"/>
      <c r="C81" s="230"/>
      <c r="D81" s="230"/>
      <c r="E81" s="231"/>
      <c r="F81" s="231"/>
      <c r="G81" s="231"/>
      <c r="H81" s="231"/>
      <c r="I81" s="227"/>
      <c r="J81" s="227"/>
      <c r="K81" s="227"/>
    </row>
    <row r="82" spans="2:11" ht="12.75">
      <c r="B82" s="230"/>
      <c r="C82" s="230"/>
      <c r="D82" s="230"/>
      <c r="E82" s="231"/>
      <c r="F82" s="231"/>
      <c r="G82" s="231"/>
      <c r="H82" s="231"/>
      <c r="I82" s="227"/>
      <c r="J82" s="227"/>
      <c r="K82" s="227"/>
    </row>
    <row r="83" spans="2:11" ht="12.75">
      <c r="B83" s="227"/>
      <c r="C83" s="227"/>
      <c r="D83" s="227"/>
      <c r="E83" s="232"/>
      <c r="F83" s="232"/>
      <c r="G83" s="232"/>
      <c r="H83" s="232"/>
      <c r="I83" s="227"/>
      <c r="J83" s="227"/>
      <c r="K83" s="227"/>
    </row>
    <row r="84" spans="2:11" ht="12.75">
      <c r="B84" s="227"/>
      <c r="C84" s="227"/>
      <c r="D84" s="227"/>
      <c r="E84" s="232"/>
      <c r="F84" s="232"/>
      <c r="G84" s="232"/>
      <c r="H84" s="232"/>
      <c r="I84" s="227"/>
      <c r="J84" s="227"/>
      <c r="K84" s="227"/>
    </row>
    <row r="85" spans="2:11" ht="12.75">
      <c r="B85" s="227"/>
      <c r="C85" s="227"/>
      <c r="D85" s="227"/>
      <c r="E85" s="232"/>
      <c r="F85" s="232"/>
      <c r="G85" s="232"/>
      <c r="H85" s="232"/>
      <c r="I85" s="227"/>
      <c r="J85" s="227"/>
      <c r="K85" s="227"/>
    </row>
    <row r="86" spans="2:11" ht="12.75">
      <c r="B86" s="227"/>
      <c r="C86" s="227"/>
      <c r="D86" s="227"/>
      <c r="E86" s="232"/>
      <c r="F86" s="232"/>
      <c r="G86" s="232"/>
      <c r="H86" s="232"/>
      <c r="I86" s="227"/>
      <c r="J86" s="227"/>
      <c r="K86" s="227"/>
    </row>
    <row r="87" spans="2:11" ht="12.75">
      <c r="B87" s="227"/>
      <c r="C87" s="227"/>
      <c r="D87" s="227"/>
      <c r="E87" s="232"/>
      <c r="F87" s="232"/>
      <c r="G87" s="232"/>
      <c r="H87" s="232"/>
      <c r="I87" s="227"/>
      <c r="J87" s="227"/>
      <c r="K87" s="227"/>
    </row>
    <row r="88" spans="2:11" ht="12.75">
      <c r="B88" s="227"/>
      <c r="C88" s="227"/>
      <c r="D88" s="227"/>
      <c r="E88" s="232"/>
      <c r="F88" s="232"/>
      <c r="G88" s="232"/>
      <c r="H88" s="232"/>
      <c r="I88" s="227"/>
      <c r="J88" s="227"/>
      <c r="K88" s="227"/>
    </row>
    <row r="89" spans="2:11" ht="12.75">
      <c r="B89" s="227"/>
      <c r="C89" s="227"/>
      <c r="D89" s="227"/>
      <c r="E89" s="232"/>
      <c r="F89" s="232"/>
      <c r="G89" s="232"/>
      <c r="H89" s="232"/>
      <c r="I89" s="227"/>
      <c r="J89" s="227"/>
      <c r="K89" s="227"/>
    </row>
    <row r="90" spans="2:8" ht="12.75">
      <c r="B90" s="227"/>
      <c r="C90" s="227"/>
      <c r="D90" s="227"/>
      <c r="E90" s="232"/>
      <c r="F90" s="232"/>
      <c r="G90" s="232"/>
      <c r="H90" s="232"/>
    </row>
    <row r="91" spans="2:8" ht="12.75">
      <c r="B91" s="227"/>
      <c r="C91" s="227"/>
      <c r="D91" s="227"/>
      <c r="E91" s="232"/>
      <c r="F91" s="232"/>
      <c r="G91" s="232"/>
      <c r="H91" s="232"/>
    </row>
    <row r="92" spans="2:8" ht="12.75">
      <c r="B92" s="227"/>
      <c r="C92" s="227"/>
      <c r="D92" s="227"/>
      <c r="E92" s="232"/>
      <c r="F92" s="232"/>
      <c r="G92" s="232"/>
      <c r="H92" s="232"/>
    </row>
  </sheetData>
  <sheetProtection password="8147" sheet="1" selectLockedCells="1"/>
  <mergeCells count="36">
    <mergeCell ref="B54:E55"/>
    <mergeCell ref="D40:H40"/>
    <mergeCell ref="B42:H42"/>
    <mergeCell ref="B47:H47"/>
    <mergeCell ref="C49:E49"/>
    <mergeCell ref="C50:E50"/>
    <mergeCell ref="C51:E51"/>
    <mergeCell ref="C52:E52"/>
    <mergeCell ref="F48:G48"/>
    <mergeCell ref="B30:C30"/>
    <mergeCell ref="B37:C37"/>
    <mergeCell ref="B31:C31"/>
    <mergeCell ref="B34:C34"/>
    <mergeCell ref="B32:C32"/>
    <mergeCell ref="B33:C33"/>
    <mergeCell ref="B35:C35"/>
    <mergeCell ref="B38:C38"/>
    <mergeCell ref="B40:C40"/>
    <mergeCell ref="B7:H7"/>
    <mergeCell ref="B27:H27"/>
    <mergeCell ref="C11:H11"/>
    <mergeCell ref="C13:H13"/>
    <mergeCell ref="C22:E22"/>
    <mergeCell ref="B8:H8"/>
    <mergeCell ref="B9:H9"/>
    <mergeCell ref="B29:C29"/>
    <mergeCell ref="A1:H1"/>
    <mergeCell ref="B26:H26"/>
    <mergeCell ref="B60:H60"/>
    <mergeCell ref="B59:H59"/>
    <mergeCell ref="F55:G55"/>
    <mergeCell ref="F49:G49"/>
    <mergeCell ref="B28:H28"/>
    <mergeCell ref="B4:H4"/>
    <mergeCell ref="B5:H5"/>
    <mergeCell ref="B6:H6"/>
  </mergeCells>
  <printOptions horizontalCentered="1" verticalCentered="1"/>
  <pageMargins left="0.4330708661417323" right="0.3937007874015748" top="0.5511811023622047" bottom="0.7480314960629921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Centrais Elétricas Brasileiras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</dc:creator>
  <cp:keywords/>
  <dc:description/>
  <cp:lastModifiedBy>ericson</cp:lastModifiedBy>
  <cp:lastPrinted>2013-05-13T17:41:20Z</cp:lastPrinted>
  <dcterms:created xsi:type="dcterms:W3CDTF">2007-02-01T19:13:25Z</dcterms:created>
  <dcterms:modified xsi:type="dcterms:W3CDTF">2016-12-12T11:12:37Z</dcterms:modified>
  <cp:category/>
  <cp:version/>
  <cp:contentType/>
  <cp:contentStatus/>
</cp:coreProperties>
</file>